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jmspoto/Desktop/"/>
    </mc:Choice>
  </mc:AlternateContent>
  <xr:revisionPtr revIDLastSave="0" documentId="8_{335C3D2D-63ED-404F-9103-21D5604B6A04}" xr6:coauthVersionLast="47" xr6:coauthVersionMax="47" xr10:uidLastSave="{00000000-0000-0000-0000-000000000000}"/>
  <bookViews>
    <workbookView xWindow="0" yWindow="500" windowWidth="16380" windowHeight="8200" tabRatio="500" xr2:uid="{00000000-000D-0000-FFFF-FFFF00000000}"/>
  </bookViews>
  <sheets>
    <sheet name="00_Cover" sheetId="1" r:id="rId1"/>
    <sheet name="01_Historicals" sheetId="2" r:id="rId2"/>
    <sheet name="02_Segments" sheetId="3" r:id="rId3"/>
    <sheet name="03_Drivers" sheetId="4" r:id="rId4"/>
    <sheet name="04_Revenue" sheetId="5" r:id="rId5"/>
    <sheet name="05_IncStmt" sheetId="6" r:id="rId6"/>
    <sheet name="06_BS" sheetId="7" r:id="rId7"/>
    <sheet name="07_CashFlow" sheetId="8" r:id="rId8"/>
    <sheet name="08_DFCF" sheetId="9" r:id="rId9"/>
    <sheet name="09_WACC" sheetId="10" r:id="rId10"/>
    <sheet name="10_CapAlloc" sheetId="11" r:id="rId11"/>
    <sheet name="11_Scenarios" sheetId="12" r:id="rId12"/>
    <sheet name="12_SanityChk" sheetId="13" r:id="rId13"/>
    <sheet name="13_DebtSched" sheetId="14" r:id="rId14"/>
    <sheet name="14_DeferredRev" sheetId="15" r:id="rId1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5" l="1"/>
  <c r="C13" i="15" s="1"/>
  <c r="B5" i="15"/>
  <c r="B13" i="15" s="1"/>
  <c r="C18" i="14"/>
  <c r="C20" i="14" s="1"/>
  <c r="B29" i="13"/>
  <c r="B14" i="13"/>
  <c r="B20" i="13" s="1"/>
  <c r="N34" i="12"/>
  <c r="M34" i="12"/>
  <c r="L34" i="12"/>
  <c r="K34" i="12"/>
  <c r="J34" i="12"/>
  <c r="I34" i="12"/>
  <c r="H34" i="12"/>
  <c r="G34" i="12"/>
  <c r="F34" i="12"/>
  <c r="E28" i="12"/>
  <c r="E27" i="12"/>
  <c r="E26" i="12"/>
  <c r="E25" i="12"/>
  <c r="E24" i="12"/>
  <c r="E23" i="12"/>
  <c r="J37" i="11" s="1"/>
  <c r="E22" i="12"/>
  <c r="E21" i="12"/>
  <c r="E20" i="12"/>
  <c r="E19" i="12"/>
  <c r="E18" i="12"/>
  <c r="E17" i="12"/>
  <c r="L28" i="4" s="1"/>
  <c r="E16" i="12"/>
  <c r="E15" i="12"/>
  <c r="E14" i="12"/>
  <c r="E13" i="12"/>
  <c r="E12" i="12"/>
  <c r="E11" i="12"/>
  <c r="E10" i="12"/>
  <c r="E9" i="12"/>
  <c r="E8" i="12"/>
  <c r="E7" i="12"/>
  <c r="C41" i="11"/>
  <c r="B41" i="11"/>
  <c r="L37" i="11"/>
  <c r="K37" i="11"/>
  <c r="I37" i="11"/>
  <c r="H37" i="11"/>
  <c r="G37" i="11"/>
  <c r="F37" i="11"/>
  <c r="D37" i="11"/>
  <c r="L36" i="11"/>
  <c r="C33" i="11"/>
  <c r="B33" i="11"/>
  <c r="C20" i="11"/>
  <c r="B20" i="11"/>
  <c r="C13" i="11"/>
  <c r="B13" i="11"/>
  <c r="C42" i="10"/>
  <c r="D42" i="10" s="1"/>
  <c r="B41" i="10"/>
  <c r="F32" i="10"/>
  <c r="E32" i="10"/>
  <c r="D32" i="10"/>
  <c r="D33" i="10" s="1"/>
  <c r="C32" i="10"/>
  <c r="C33" i="10" s="1"/>
  <c r="B32" i="10"/>
  <c r="B25" i="10"/>
  <c r="B17" i="10"/>
  <c r="B8" i="10"/>
  <c r="B15" i="10" s="1"/>
  <c r="C34" i="9"/>
  <c r="B34" i="9"/>
  <c r="C32" i="9"/>
  <c r="B23" i="9"/>
  <c r="C10" i="9"/>
  <c r="B10" i="9"/>
  <c r="A1" i="9"/>
  <c r="C34" i="8"/>
  <c r="B34" i="8"/>
  <c r="C33" i="8"/>
  <c r="C32" i="8"/>
  <c r="C31" i="8"/>
  <c r="B31" i="8"/>
  <c r="C29" i="8"/>
  <c r="C30" i="8" s="1"/>
  <c r="B29" i="8"/>
  <c r="B30" i="8" s="1"/>
  <c r="D28" i="8"/>
  <c r="C26" i="8"/>
  <c r="B26" i="8"/>
  <c r="C24" i="8"/>
  <c r="B24" i="8"/>
  <c r="C17" i="8"/>
  <c r="B17" i="8"/>
  <c r="C12" i="8"/>
  <c r="B12" i="8"/>
  <c r="B32" i="8" s="1"/>
  <c r="A1" i="8"/>
  <c r="C37" i="7"/>
  <c r="B32" i="9" s="1"/>
  <c r="B37" i="7"/>
  <c r="D29" i="7"/>
  <c r="C24" i="7"/>
  <c r="B24" i="7"/>
  <c r="C19" i="7"/>
  <c r="C21" i="7" s="1"/>
  <c r="C26" i="7" s="1"/>
  <c r="C14" i="7" s="1"/>
  <c r="B19" i="7"/>
  <c r="B21" i="7" s="1"/>
  <c r="B26" i="7" s="1"/>
  <c r="B14" i="7" s="1"/>
  <c r="C15" i="7"/>
  <c r="C35" i="7" s="1"/>
  <c r="D13" i="7"/>
  <c r="E13" i="7" s="1"/>
  <c r="F13" i="7" s="1"/>
  <c r="C9" i="7"/>
  <c r="B9" i="7"/>
  <c r="B15" i="7" s="1"/>
  <c r="B35" i="7" s="1"/>
  <c r="D7" i="7"/>
  <c r="A1" i="7"/>
  <c r="D19" i="6"/>
  <c r="F14" i="6"/>
  <c r="E14" i="6"/>
  <c r="D14" i="6"/>
  <c r="C10" i="6"/>
  <c r="B10" i="6"/>
  <c r="C6" i="6"/>
  <c r="B6" i="6"/>
  <c r="D5" i="6"/>
  <c r="D8" i="6" s="1"/>
  <c r="C5" i="6"/>
  <c r="B5" i="6"/>
  <c r="A1" i="6"/>
  <c r="C14" i="5"/>
  <c r="B14" i="5"/>
  <c r="C12" i="5"/>
  <c r="C11" i="5"/>
  <c r="C4" i="6" s="1"/>
  <c r="C11" i="6" s="1"/>
  <c r="B11" i="5"/>
  <c r="C9" i="5"/>
  <c r="D8" i="5"/>
  <c r="D6" i="5"/>
  <c r="C6" i="5"/>
  <c r="D5" i="5"/>
  <c r="D11" i="5" s="1"/>
  <c r="D46" i="4"/>
  <c r="L41" i="4"/>
  <c r="K41" i="4"/>
  <c r="J41" i="4"/>
  <c r="I41" i="4"/>
  <c r="H41" i="4"/>
  <c r="G41" i="4"/>
  <c r="F41" i="4"/>
  <c r="E41" i="4"/>
  <c r="D41" i="4"/>
  <c r="D40" i="4"/>
  <c r="D39" i="4"/>
  <c r="D38" i="4"/>
  <c r="D37" i="4"/>
  <c r="D36" i="4"/>
  <c r="D35" i="4"/>
  <c r="D34" i="4"/>
  <c r="D33" i="4"/>
  <c r="D32" i="4"/>
  <c r="B12" i="10" s="1"/>
  <c r="B13" i="10" s="1"/>
  <c r="F29" i="4"/>
  <c r="G29" i="4" s="1"/>
  <c r="H29" i="4" s="1"/>
  <c r="I29" i="4" s="1"/>
  <c r="J29" i="4" s="1"/>
  <c r="K29" i="4" s="1"/>
  <c r="L29" i="4" s="1"/>
  <c r="E29" i="4"/>
  <c r="F28" i="4"/>
  <c r="G28" i="4" s="1"/>
  <c r="H28" i="4" s="1"/>
  <c r="I28" i="4" s="1"/>
  <c r="J28" i="4" s="1"/>
  <c r="K28" i="4" s="1"/>
  <c r="E28" i="4"/>
  <c r="I25" i="4"/>
  <c r="F25" i="4"/>
  <c r="E25" i="4"/>
  <c r="G24" i="4"/>
  <c r="G25" i="4" s="1"/>
  <c r="F24" i="4"/>
  <c r="E24" i="4"/>
  <c r="G23" i="4"/>
  <c r="F23" i="4"/>
  <c r="E23" i="4"/>
  <c r="L22" i="4"/>
  <c r="L25" i="4" s="1"/>
  <c r="K22" i="4"/>
  <c r="K25" i="4" s="1"/>
  <c r="J22" i="4"/>
  <c r="J25" i="4" s="1"/>
  <c r="I22" i="4"/>
  <c r="H22" i="4"/>
  <c r="H25" i="4" s="1"/>
  <c r="G22" i="4"/>
  <c r="F22" i="4"/>
  <c r="E22" i="4"/>
  <c r="I17" i="4"/>
  <c r="I18" i="4" s="1"/>
  <c r="I19" i="4" s="1"/>
  <c r="L14" i="4"/>
  <c r="K14" i="4"/>
  <c r="J14" i="4"/>
  <c r="I14" i="4"/>
  <c r="H14" i="4"/>
  <c r="G14" i="4"/>
  <c r="F14" i="4"/>
  <c r="E14" i="4"/>
  <c r="D14" i="4"/>
  <c r="K12" i="4"/>
  <c r="K13" i="4" s="1"/>
  <c r="K17" i="4" s="1"/>
  <c r="K18" i="4" s="1"/>
  <c r="K19" i="4" s="1"/>
  <c r="J12" i="4"/>
  <c r="J13" i="4" s="1"/>
  <c r="J17" i="4" s="1"/>
  <c r="J18" i="4" s="1"/>
  <c r="J19" i="4" s="1"/>
  <c r="L11" i="4"/>
  <c r="K11" i="4"/>
  <c r="J11" i="4"/>
  <c r="I11" i="4"/>
  <c r="H11" i="4"/>
  <c r="G11" i="4"/>
  <c r="F11" i="4"/>
  <c r="E11" i="4"/>
  <c r="I12" i="4" s="1"/>
  <c r="I13" i="4" s="1"/>
  <c r="D11" i="4"/>
  <c r="L8" i="4"/>
  <c r="K8" i="4"/>
  <c r="J8" i="4"/>
  <c r="I8" i="4"/>
  <c r="H8" i="4"/>
  <c r="G8" i="4"/>
  <c r="F8" i="4"/>
  <c r="D9" i="4" s="1"/>
  <c r="E8" i="4"/>
  <c r="D8" i="4"/>
  <c r="B9" i="4" s="1"/>
  <c r="B26" i="13" s="1"/>
  <c r="C31" i="3"/>
  <c r="B31" i="3"/>
  <c r="C11" i="3"/>
  <c r="B11" i="3"/>
  <c r="B8" i="1"/>
  <c r="B4" i="9" l="1"/>
  <c r="B6" i="9" s="1"/>
  <c r="B14" i="9" s="1"/>
  <c r="B17" i="6"/>
  <c r="B20" i="6" s="1"/>
  <c r="B22" i="6" s="1"/>
  <c r="B25" i="6"/>
  <c r="C41" i="10"/>
  <c r="J17" i="9"/>
  <c r="J18" i="9" s="1"/>
  <c r="B24" i="9"/>
  <c r="I17" i="9"/>
  <c r="I18" i="9" s="1"/>
  <c r="B32" i="13"/>
  <c r="K17" i="9"/>
  <c r="K18" i="9" s="1"/>
  <c r="H17" i="9"/>
  <c r="H18" i="9" s="1"/>
  <c r="L17" i="9"/>
  <c r="L18" i="9" s="1"/>
  <c r="G17" i="9"/>
  <c r="G18" i="9" s="1"/>
  <c r="E17" i="9"/>
  <c r="E18" i="9" s="1"/>
  <c r="F17" i="9"/>
  <c r="F18" i="9" s="1"/>
  <c r="B7" i="1"/>
  <c r="D17" i="9"/>
  <c r="D18" i="9" s="1"/>
  <c r="H12" i="4"/>
  <c r="H13" i="4" s="1"/>
  <c r="G12" i="4"/>
  <c r="G13" i="4" s="1"/>
  <c r="F12" i="4"/>
  <c r="F13" i="4" s="1"/>
  <c r="E12" i="4"/>
  <c r="E13" i="4" s="1"/>
  <c r="E17" i="4" s="1"/>
  <c r="E18" i="4" s="1"/>
  <c r="E19" i="4" s="1"/>
  <c r="E5" i="5" s="1"/>
  <c r="D12" i="4"/>
  <c r="D13" i="4" s="1"/>
  <c r="D17" i="4" s="1"/>
  <c r="D18" i="4" s="1"/>
  <c r="B49" i="13"/>
  <c r="D10" i="11"/>
  <c r="B13" i="13"/>
  <c r="B19" i="13" s="1"/>
  <c r="D11" i="7"/>
  <c r="D33" i="8"/>
  <c r="D18" i="7"/>
  <c r="D8" i="7"/>
  <c r="D20" i="7"/>
  <c r="D24" i="6"/>
  <c r="D4" i="6"/>
  <c r="D14" i="5"/>
  <c r="D12" i="5"/>
  <c r="L12" i="4"/>
  <c r="L13" i="4" s="1"/>
  <c r="L17" i="4" s="1"/>
  <c r="L18" i="4" s="1"/>
  <c r="L19" i="4" s="1"/>
  <c r="B4" i="6"/>
  <c r="B11" i="6" s="1"/>
  <c r="B33" i="8"/>
  <c r="C25" i="6"/>
  <c r="C17" i="6"/>
  <c r="C20" i="6" s="1"/>
  <c r="C22" i="6" s="1"/>
  <c r="C4" i="9"/>
  <c r="C6" i="9" s="1"/>
  <c r="C14" i="9" s="1"/>
  <c r="G14" i="6"/>
  <c r="G13" i="7"/>
  <c r="D5" i="15"/>
  <c r="B15" i="13"/>
  <c r="B21" i="13" s="1"/>
  <c r="D6" i="6"/>
  <c r="D9" i="6" s="1"/>
  <c r="D10" i="6" s="1"/>
  <c r="D9" i="5"/>
  <c r="K36" i="11"/>
  <c r="J36" i="11"/>
  <c r="H36" i="11"/>
  <c r="G36" i="11"/>
  <c r="F36" i="11"/>
  <c r="E36" i="11"/>
  <c r="D36" i="11"/>
  <c r="E8" i="5"/>
  <c r="G17" i="4"/>
  <c r="G18" i="4" s="1"/>
  <c r="G19" i="4" s="1"/>
  <c r="I25" i="11"/>
  <c r="G25" i="11"/>
  <c r="F25" i="11"/>
  <c r="E25" i="11"/>
  <c r="L25" i="11"/>
  <c r="K25" i="11"/>
  <c r="D25" i="11"/>
  <c r="D26" i="11" s="1"/>
  <c r="F17" i="4"/>
  <c r="F18" i="4" s="1"/>
  <c r="F19" i="4" s="1"/>
  <c r="C43" i="10"/>
  <c r="D43" i="10" s="1"/>
  <c r="B33" i="10"/>
  <c r="F33" i="10"/>
  <c r="E33" i="10"/>
  <c r="H25" i="11"/>
  <c r="H17" i="4"/>
  <c r="H18" i="4" s="1"/>
  <c r="H19" i="4" s="1"/>
  <c r="J25" i="11"/>
  <c r="I36" i="11"/>
  <c r="E37" i="11"/>
  <c r="D13" i="6" l="1"/>
  <c r="D11" i="6"/>
  <c r="D9" i="9"/>
  <c r="D12" i="11" s="1"/>
  <c r="D15" i="8" s="1"/>
  <c r="D17" i="8" s="1"/>
  <c r="B48" i="13"/>
  <c r="B50" i="13" s="1"/>
  <c r="D10" i="8"/>
  <c r="D11" i="9"/>
  <c r="D8" i="9"/>
  <c r="D7" i="8"/>
  <c r="D7" i="11"/>
  <c r="E5" i="15"/>
  <c r="C15" i="13"/>
  <c r="C21" i="13" s="1"/>
  <c r="E6" i="6"/>
  <c r="E9" i="6" s="1"/>
  <c r="F8" i="5"/>
  <c r="E9" i="5"/>
  <c r="C34" i="11"/>
  <c r="C35" i="11" s="1"/>
  <c r="C38" i="7"/>
  <c r="B16" i="13"/>
  <c r="B22" i="13" s="1"/>
  <c r="D4" i="9"/>
  <c r="D25" i="6"/>
  <c r="D17" i="6"/>
  <c r="D20" i="6" s="1"/>
  <c r="C14" i="13"/>
  <c r="C20" i="13" s="1"/>
  <c r="E5" i="6"/>
  <c r="E8" i="6" s="1"/>
  <c r="E10" i="6" s="1"/>
  <c r="E11" i="5"/>
  <c r="E6" i="5"/>
  <c r="F5" i="5"/>
  <c r="B34" i="11"/>
  <c r="B35" i="11" s="1"/>
  <c r="B38" i="7"/>
  <c r="D8" i="15"/>
  <c r="H13" i="7"/>
  <c r="H14" i="6"/>
  <c r="D12" i="15" l="1"/>
  <c r="D9" i="15"/>
  <c r="D19" i="7" s="1"/>
  <c r="D21" i="7" s="1"/>
  <c r="D13" i="15"/>
  <c r="C13" i="13"/>
  <c r="C19" i="13" s="1"/>
  <c r="E11" i="7"/>
  <c r="E8" i="7"/>
  <c r="E7" i="7"/>
  <c r="E18" i="7"/>
  <c r="E24" i="6"/>
  <c r="E4" i="6"/>
  <c r="E20" i="7"/>
  <c r="E12" i="5"/>
  <c r="E14" i="5"/>
  <c r="C16" i="13"/>
  <c r="C22" i="13" s="1"/>
  <c r="E4" i="9"/>
  <c r="E25" i="6"/>
  <c r="E8" i="15"/>
  <c r="E13" i="15"/>
  <c r="I13" i="7"/>
  <c r="I14" i="6"/>
  <c r="D34" i="11"/>
  <c r="D17" i="11"/>
  <c r="D10" i="9"/>
  <c r="D8" i="11"/>
  <c r="D8" i="8" s="1"/>
  <c r="D21" i="6"/>
  <c r="D22" i="6"/>
  <c r="D6" i="11" s="1"/>
  <c r="F5" i="15"/>
  <c r="D15" i="13"/>
  <c r="D21" i="13" s="1"/>
  <c r="F9" i="5"/>
  <c r="F6" i="6"/>
  <c r="F9" i="6" s="1"/>
  <c r="G8" i="5"/>
  <c r="D14" i="13"/>
  <c r="D20" i="13" s="1"/>
  <c r="F14" i="5"/>
  <c r="F5" i="6"/>
  <c r="F8" i="6" s="1"/>
  <c r="F10" i="6" s="1"/>
  <c r="F6" i="5"/>
  <c r="F11" i="5"/>
  <c r="G5" i="5"/>
  <c r="D5" i="9"/>
  <c r="D6" i="9" s="1"/>
  <c r="D28" i="11"/>
  <c r="D22" i="11" l="1"/>
  <c r="D20" i="8"/>
  <c r="D10" i="15"/>
  <c r="D24" i="7" s="1"/>
  <c r="F8" i="15"/>
  <c r="F13" i="15"/>
  <c r="F25" i="6"/>
  <c r="F4" i="9"/>
  <c r="D16" i="13"/>
  <c r="D22" i="13" s="1"/>
  <c r="D16" i="11"/>
  <c r="D6" i="8"/>
  <c r="D30" i="7"/>
  <c r="J13" i="7"/>
  <c r="J14" i="6"/>
  <c r="G5" i="15"/>
  <c r="G9" i="5"/>
  <c r="H8" i="5"/>
  <c r="G6" i="6"/>
  <c r="G9" i="6" s="1"/>
  <c r="E12" i="15"/>
  <c r="E9" i="15"/>
  <c r="E19" i="7" s="1"/>
  <c r="E21" i="7" s="1"/>
  <c r="E9" i="9"/>
  <c r="E12" i="11" s="1"/>
  <c r="E15" i="8" s="1"/>
  <c r="E17" i="8" s="1"/>
  <c r="E11" i="6"/>
  <c r="E13" i="6"/>
  <c r="E34" i="11"/>
  <c r="E8" i="9"/>
  <c r="E7" i="11"/>
  <c r="E7" i="8"/>
  <c r="G5" i="6"/>
  <c r="G8" i="6" s="1"/>
  <c r="G10" i="6" s="1"/>
  <c r="G11" i="5"/>
  <c r="G6" i="5"/>
  <c r="H5" i="5"/>
  <c r="E5" i="9"/>
  <c r="E6" i="9" s="1"/>
  <c r="D13" i="13"/>
  <c r="D19" i="13" s="1"/>
  <c r="F24" i="6"/>
  <c r="F20" i="7"/>
  <c r="F8" i="7"/>
  <c r="F7" i="7"/>
  <c r="F4" i="6"/>
  <c r="F11" i="7"/>
  <c r="F12" i="5"/>
  <c r="F18" i="7"/>
  <c r="C49" i="13"/>
  <c r="E10" i="11"/>
  <c r="D9" i="11"/>
  <c r="D11" i="11" s="1"/>
  <c r="D13" i="11" s="1"/>
  <c r="D9" i="8"/>
  <c r="D12" i="9"/>
  <c r="D14" i="9" s="1"/>
  <c r="D19" i="9" l="1"/>
  <c r="D18" i="11"/>
  <c r="D19" i="11" s="1"/>
  <c r="F34" i="11"/>
  <c r="F10" i="11"/>
  <c r="D49" i="13"/>
  <c r="H5" i="6"/>
  <c r="H8" i="6" s="1"/>
  <c r="H10" i="6" s="1"/>
  <c r="H11" i="5"/>
  <c r="H6" i="5"/>
  <c r="I5" i="5"/>
  <c r="H14" i="5"/>
  <c r="E9" i="11"/>
  <c r="E12" i="9"/>
  <c r="E9" i="8"/>
  <c r="D34" i="8"/>
  <c r="D12" i="8"/>
  <c r="F12" i="15"/>
  <c r="F9" i="15"/>
  <c r="F19" i="7" s="1"/>
  <c r="C48" i="13"/>
  <c r="C50" i="13" s="1"/>
  <c r="E11" i="9"/>
  <c r="E10" i="8"/>
  <c r="D20" i="11"/>
  <c r="D31" i="7"/>
  <c r="D22" i="8"/>
  <c r="H5" i="15"/>
  <c r="I8" i="5"/>
  <c r="H6" i="6"/>
  <c r="H9" i="6" s="1"/>
  <c r="H9" i="5"/>
  <c r="K14" i="6"/>
  <c r="K13" i="7"/>
  <c r="F9" i="9"/>
  <c r="F12" i="11" s="1"/>
  <c r="F15" i="8" s="1"/>
  <c r="F17" i="8" s="1"/>
  <c r="F13" i="6"/>
  <c r="F11" i="6"/>
  <c r="E10" i="15"/>
  <c r="E24" i="7" s="1"/>
  <c r="G20" i="7"/>
  <c r="G8" i="7"/>
  <c r="G12" i="5"/>
  <c r="G24" i="6"/>
  <c r="G25" i="6" s="1"/>
  <c r="G4" i="6"/>
  <c r="G11" i="7"/>
  <c r="G18" i="7"/>
  <c r="G7" i="7"/>
  <c r="F7" i="11"/>
  <c r="F7" i="8"/>
  <c r="F8" i="9"/>
  <c r="G4" i="9"/>
  <c r="E8" i="11"/>
  <c r="E8" i="8" s="1"/>
  <c r="E10" i="9"/>
  <c r="E14" i="9" s="1"/>
  <c r="E17" i="6"/>
  <c r="F21" i="7"/>
  <c r="G14" i="5"/>
  <c r="G8" i="15"/>
  <c r="D23" i="7"/>
  <c r="F5" i="9"/>
  <c r="F6" i="9" s="1"/>
  <c r="E19" i="9" l="1"/>
  <c r="G34" i="11"/>
  <c r="G12" i="15"/>
  <c r="G9" i="15"/>
  <c r="G19" i="7" s="1"/>
  <c r="G7" i="11"/>
  <c r="G7" i="8"/>
  <c r="G8" i="9"/>
  <c r="L14" i="6"/>
  <c r="L13" i="7"/>
  <c r="F10" i="15"/>
  <c r="F24" i="7" s="1"/>
  <c r="I5" i="6"/>
  <c r="I8" i="6" s="1"/>
  <c r="I10" i="6" s="1"/>
  <c r="I11" i="5"/>
  <c r="I6" i="5"/>
  <c r="J5" i="5"/>
  <c r="I14" i="5"/>
  <c r="D32" i="7"/>
  <c r="D33" i="7" s="1"/>
  <c r="E29" i="7" s="1"/>
  <c r="D21" i="8"/>
  <c r="D24" i="8" s="1"/>
  <c r="D27" i="11"/>
  <c r="D29" i="11" s="1"/>
  <c r="D26" i="8"/>
  <c r="D29" i="8" s="1"/>
  <c r="D32" i="8"/>
  <c r="H7" i="7"/>
  <c r="H24" i="6"/>
  <c r="H8" i="7"/>
  <c r="H4" i="6"/>
  <c r="H11" i="7"/>
  <c r="H12" i="5"/>
  <c r="H20" i="7"/>
  <c r="H18" i="7"/>
  <c r="D30" i="11"/>
  <c r="F9" i="11"/>
  <c r="F12" i="9"/>
  <c r="F9" i="8"/>
  <c r="D26" i="7"/>
  <c r="E49" i="13"/>
  <c r="G10" i="11"/>
  <c r="G21" i="7"/>
  <c r="H4" i="9"/>
  <c r="H25" i="6"/>
  <c r="G5" i="9"/>
  <c r="G6" i="9" s="1"/>
  <c r="I5" i="15"/>
  <c r="J8" i="5"/>
  <c r="I9" i="5"/>
  <c r="I6" i="6"/>
  <c r="I9" i="6" s="1"/>
  <c r="D48" i="13"/>
  <c r="D50" i="13" s="1"/>
  <c r="F11" i="9"/>
  <c r="F10" i="8"/>
  <c r="G13" i="15"/>
  <c r="G9" i="9"/>
  <c r="G12" i="11" s="1"/>
  <c r="G15" i="8" s="1"/>
  <c r="G17" i="8" s="1"/>
  <c r="G11" i="6"/>
  <c r="G13" i="6"/>
  <c r="F8" i="11"/>
  <c r="F8" i="8" s="1"/>
  <c r="F10" i="9"/>
  <c r="F14" i="9" s="1"/>
  <c r="F17" i="6"/>
  <c r="H8" i="15"/>
  <c r="H13" i="15" s="1"/>
  <c r="F19" i="9" l="1"/>
  <c r="D40" i="11"/>
  <c r="J5" i="15"/>
  <c r="K8" i="5"/>
  <c r="J9" i="5"/>
  <c r="J6" i="6"/>
  <c r="J9" i="6" s="1"/>
  <c r="H9" i="9"/>
  <c r="H12" i="11" s="1"/>
  <c r="H15" i="8" s="1"/>
  <c r="H17" i="8" s="1"/>
  <c r="H11" i="6"/>
  <c r="H13" i="6"/>
  <c r="G9" i="11"/>
  <c r="G12" i="9"/>
  <c r="G9" i="8"/>
  <c r="F49" i="13"/>
  <c r="H10" i="11"/>
  <c r="H34" i="11"/>
  <c r="I8" i="15"/>
  <c r="I13" i="15"/>
  <c r="G11" i="9"/>
  <c r="E48" i="13"/>
  <c r="E50" i="13" s="1"/>
  <c r="B49" i="1" s="1"/>
  <c r="G10" i="8"/>
  <c r="D48" i="11"/>
  <c r="D47" i="11"/>
  <c r="E28" i="8"/>
  <c r="D6" i="7"/>
  <c r="E17" i="11"/>
  <c r="D33" i="11"/>
  <c r="D35" i="11" s="1"/>
  <c r="D38" i="11" s="1"/>
  <c r="E19" i="6"/>
  <c r="E20" i="6" s="1"/>
  <c r="H7" i="11"/>
  <c r="H7" i="8"/>
  <c r="H8" i="9"/>
  <c r="J6" i="5"/>
  <c r="J11" i="5"/>
  <c r="J5" i="6"/>
  <c r="J8" i="6" s="1"/>
  <c r="J10" i="6" s="1"/>
  <c r="K5" i="5"/>
  <c r="I24" i="6"/>
  <c r="I25" i="6" s="1"/>
  <c r="I18" i="7"/>
  <c r="I12" i="5"/>
  <c r="I11" i="7"/>
  <c r="I20" i="7"/>
  <c r="I7" i="7"/>
  <c r="I8" i="7"/>
  <c r="I4" i="6"/>
  <c r="D30" i="8"/>
  <c r="I4" i="9"/>
  <c r="H5" i="9"/>
  <c r="H6" i="9"/>
  <c r="H9" i="15"/>
  <c r="H19" i="7" s="1"/>
  <c r="H21" i="7" s="1"/>
  <c r="H12" i="15"/>
  <c r="G8" i="11"/>
  <c r="G8" i="8" s="1"/>
  <c r="G10" i="9"/>
  <c r="G14" i="9" s="1"/>
  <c r="G17" i="6"/>
  <c r="G10" i="15"/>
  <c r="G24" i="7" s="1"/>
  <c r="I34" i="11" l="1"/>
  <c r="G19" i="9"/>
  <c r="J4" i="9"/>
  <c r="F48" i="13"/>
  <c r="F50" i="13" s="1"/>
  <c r="H11" i="9"/>
  <c r="H10" i="8"/>
  <c r="G49" i="13"/>
  <c r="I10" i="11"/>
  <c r="J18" i="7"/>
  <c r="J12" i="5"/>
  <c r="J4" i="6"/>
  <c r="J24" i="6"/>
  <c r="J20" i="7"/>
  <c r="J7" i="7"/>
  <c r="J8" i="7"/>
  <c r="J11" i="7"/>
  <c r="E20" i="8"/>
  <c r="E22" i="11"/>
  <c r="I5" i="9"/>
  <c r="I6" i="9" s="1"/>
  <c r="E33" i="8"/>
  <c r="J14" i="5"/>
  <c r="D9" i="7"/>
  <c r="D31" i="8"/>
  <c r="D37" i="7"/>
  <c r="D38" i="7" s="1"/>
  <c r="K5" i="15"/>
  <c r="K9" i="5"/>
  <c r="K6" i="6"/>
  <c r="K9" i="6" s="1"/>
  <c r="L8" i="5"/>
  <c r="J8" i="15"/>
  <c r="J13" i="15"/>
  <c r="H9" i="11"/>
  <c r="H12" i="9"/>
  <c r="H9" i="8"/>
  <c r="I9" i="15"/>
  <c r="I19" i="7" s="1"/>
  <c r="I21" i="7" s="1"/>
  <c r="I12" i="15"/>
  <c r="H10" i="15"/>
  <c r="H24" i="7" s="1"/>
  <c r="I13" i="6"/>
  <c r="I9" i="9"/>
  <c r="I12" i="11" s="1"/>
  <c r="I15" i="8" s="1"/>
  <c r="I17" i="8" s="1"/>
  <c r="I11" i="6"/>
  <c r="H14" i="9"/>
  <c r="H19" i="9" s="1"/>
  <c r="D42" i="11"/>
  <c r="D41" i="11"/>
  <c r="D43" i="11"/>
  <c r="I7" i="11"/>
  <c r="I7" i="8"/>
  <c r="I8" i="9"/>
  <c r="L5" i="5"/>
  <c r="K11" i="5"/>
  <c r="K14" i="5" s="1"/>
  <c r="K5" i="6"/>
  <c r="K8" i="6" s="1"/>
  <c r="K10" i="6" s="1"/>
  <c r="K6" i="5"/>
  <c r="E21" i="6"/>
  <c r="E22" i="6" s="1"/>
  <c r="E6" i="11" s="1"/>
  <c r="H10" i="9"/>
  <c r="H8" i="11"/>
  <c r="H8" i="8" s="1"/>
  <c r="H17" i="6"/>
  <c r="E16" i="11" l="1"/>
  <c r="E6" i="8"/>
  <c r="E11" i="11"/>
  <c r="E13" i="11" s="1"/>
  <c r="E30" i="7"/>
  <c r="K13" i="15"/>
  <c r="K8" i="15"/>
  <c r="J7" i="11"/>
  <c r="J8" i="9"/>
  <c r="J7" i="8"/>
  <c r="I10" i="15"/>
  <c r="I24" i="7" s="1"/>
  <c r="J12" i="15"/>
  <c r="J10" i="15"/>
  <c r="J24" i="7" s="1"/>
  <c r="J9" i="15"/>
  <c r="J19" i="7" s="1"/>
  <c r="D14" i="7"/>
  <c r="D15" i="7" s="1"/>
  <c r="D35" i="7" s="1"/>
  <c r="J21" i="7"/>
  <c r="J25" i="6"/>
  <c r="J6" i="9"/>
  <c r="J5" i="9"/>
  <c r="K25" i="6"/>
  <c r="K4" i="9"/>
  <c r="B17" i="13"/>
  <c r="B23" i="13" s="1"/>
  <c r="E26" i="11"/>
  <c r="I9" i="11"/>
  <c r="I12" i="9"/>
  <c r="I9" i="8"/>
  <c r="L5" i="15"/>
  <c r="L6" i="6"/>
  <c r="L9" i="6" s="1"/>
  <c r="L9" i="5"/>
  <c r="G48" i="13"/>
  <c r="G50" i="13" s="1"/>
  <c r="I10" i="8"/>
  <c r="I11" i="9"/>
  <c r="K18" i="7"/>
  <c r="K11" i="7"/>
  <c r="K4" i="6"/>
  <c r="K20" i="7"/>
  <c r="K12" i="5"/>
  <c r="K7" i="7"/>
  <c r="K8" i="7"/>
  <c r="K24" i="6"/>
  <c r="H49" i="13"/>
  <c r="J10" i="11"/>
  <c r="L11" i="5"/>
  <c r="L5" i="6"/>
  <c r="L8" i="6" s="1"/>
  <c r="L6" i="5"/>
  <c r="I8" i="11"/>
  <c r="I8" i="8" s="1"/>
  <c r="I10" i="9"/>
  <c r="I14" i="9" s="1"/>
  <c r="I17" i="6"/>
  <c r="E23" i="7"/>
  <c r="J9" i="9"/>
  <c r="J12" i="11" s="1"/>
  <c r="J15" i="8" s="1"/>
  <c r="J17" i="8" s="1"/>
  <c r="J11" i="6"/>
  <c r="J13" i="6"/>
  <c r="I19" i="9" l="1"/>
  <c r="I49" i="13"/>
  <c r="K10" i="11"/>
  <c r="K12" i="15"/>
  <c r="K10" i="15"/>
  <c r="K24" i="7" s="1"/>
  <c r="K9" i="15"/>
  <c r="K19" i="7" s="1"/>
  <c r="K9" i="9"/>
  <c r="K12" i="11" s="1"/>
  <c r="K15" i="8" s="1"/>
  <c r="K17" i="8" s="1"/>
  <c r="K13" i="6"/>
  <c r="K11" i="6"/>
  <c r="K5" i="9"/>
  <c r="K6" i="9" s="1"/>
  <c r="L20" i="7"/>
  <c r="L18" i="7"/>
  <c r="L7" i="7"/>
  <c r="L24" i="6"/>
  <c r="L8" i="7"/>
  <c r="L11" i="7"/>
  <c r="L12" i="5"/>
  <c r="L4" i="6"/>
  <c r="E26" i="7"/>
  <c r="J11" i="9"/>
  <c r="J10" i="8"/>
  <c r="H48" i="13"/>
  <c r="H50" i="13" s="1"/>
  <c r="J9" i="8"/>
  <c r="J9" i="11"/>
  <c r="J12" i="9"/>
  <c r="J8" i="11"/>
  <c r="J8" i="8" s="1"/>
  <c r="J10" i="9"/>
  <c r="J14" i="9" s="1"/>
  <c r="J17" i="6"/>
  <c r="L14" i="5"/>
  <c r="L8" i="15"/>
  <c r="K34" i="11"/>
  <c r="J34" i="11"/>
  <c r="L10" i="6"/>
  <c r="K8" i="9"/>
  <c r="K7" i="11"/>
  <c r="K7" i="8"/>
  <c r="K21" i="7"/>
  <c r="E18" i="11"/>
  <c r="E19" i="11" s="1"/>
  <c r="E30" i="11" s="1"/>
  <c r="E34" i="8"/>
  <c r="E12" i="8"/>
  <c r="E27" i="11"/>
  <c r="E29" i="11" s="1"/>
  <c r="E28" i="11"/>
  <c r="E31" i="7"/>
  <c r="E22" i="8"/>
  <c r="E20" i="11"/>
  <c r="J19" i="9" l="1"/>
  <c r="E48" i="11"/>
  <c r="E47" i="11"/>
  <c r="F28" i="8"/>
  <c r="E6" i="7"/>
  <c r="E33" i="11"/>
  <c r="E35" i="11" s="1"/>
  <c r="E38" i="11" s="1"/>
  <c r="F19" i="6"/>
  <c r="F20" i="6" s="1"/>
  <c r="F17" i="11"/>
  <c r="L13" i="6"/>
  <c r="L11" i="6"/>
  <c r="L9" i="9"/>
  <c r="L12" i="11" s="1"/>
  <c r="L15" i="8" s="1"/>
  <c r="L17" i="8" s="1"/>
  <c r="E40" i="11"/>
  <c r="L12" i="15"/>
  <c r="L10" i="15"/>
  <c r="L24" i="7" s="1"/>
  <c r="L9" i="15"/>
  <c r="L19" i="7" s="1"/>
  <c r="K9" i="11"/>
  <c r="K12" i="9"/>
  <c r="K9" i="8"/>
  <c r="I48" i="13"/>
  <c r="I50" i="13" s="1"/>
  <c r="K11" i="9"/>
  <c r="K10" i="8"/>
  <c r="L4" i="9"/>
  <c r="L17" i="6"/>
  <c r="L25" i="6"/>
  <c r="L8" i="9"/>
  <c r="L7" i="8"/>
  <c r="L7" i="11"/>
  <c r="K8" i="11"/>
  <c r="K8" i="8" s="1"/>
  <c r="K10" i="9"/>
  <c r="K14" i="9" s="1"/>
  <c r="K17" i="6"/>
  <c r="E32" i="8"/>
  <c r="L13" i="15"/>
  <c r="E21" i="8"/>
  <c r="E24" i="8" s="1"/>
  <c r="E26" i="8" s="1"/>
  <c r="E29" i="8" s="1"/>
  <c r="E30" i="8" s="1"/>
  <c r="E32" i="7"/>
  <c r="E33" i="7" s="1"/>
  <c r="F29" i="7" s="1"/>
  <c r="J49" i="13"/>
  <c r="L10" i="11"/>
  <c r="L21" i="7"/>
  <c r="K19" i="9" l="1"/>
  <c r="J48" i="13"/>
  <c r="J50" i="13" s="1"/>
  <c r="L10" i="8"/>
  <c r="L11" i="9"/>
  <c r="L5" i="9"/>
  <c r="L6" i="9" s="1"/>
  <c r="L14" i="9" s="1"/>
  <c r="L34" i="11"/>
  <c r="B53" i="9"/>
  <c r="L9" i="11"/>
  <c r="L9" i="8"/>
  <c r="L12" i="9"/>
  <c r="F33" i="8"/>
  <c r="E41" i="11"/>
  <c r="E43" i="11"/>
  <c r="E42" i="11"/>
  <c r="F20" i="8"/>
  <c r="F22" i="11"/>
  <c r="F21" i="6"/>
  <c r="F22" i="6"/>
  <c r="F6" i="11" s="1"/>
  <c r="L10" i="9"/>
  <c r="L8" i="11"/>
  <c r="L8" i="8" s="1"/>
  <c r="E31" i="8"/>
  <c r="E9" i="7"/>
  <c r="E37" i="7"/>
  <c r="E38" i="7" s="1"/>
  <c r="B22" i="9" l="1"/>
  <c r="B25" i="9" s="1"/>
  <c r="L19" i="9"/>
  <c r="B29" i="9" s="1"/>
  <c r="G47" i="9"/>
  <c r="G45" i="9"/>
  <c r="F44" i="9"/>
  <c r="F41" i="9"/>
  <c r="E45" i="9"/>
  <c r="F47" i="9"/>
  <c r="C47" i="9"/>
  <c r="D43" i="9"/>
  <c r="D34" i="10"/>
  <c r="D44" i="9"/>
  <c r="G43" i="9"/>
  <c r="D46" i="9"/>
  <c r="F42" i="9"/>
  <c r="E42" i="10"/>
  <c r="C41" i="9"/>
  <c r="F45" i="9"/>
  <c r="E34" i="10"/>
  <c r="E43" i="10"/>
  <c r="D47" i="9"/>
  <c r="D45" i="9"/>
  <c r="C45" i="9"/>
  <c r="F34" i="10"/>
  <c r="D42" i="9"/>
  <c r="E46" i="9"/>
  <c r="G44" i="9"/>
  <c r="B34" i="10"/>
  <c r="C42" i="9"/>
  <c r="G41" i="9"/>
  <c r="C44" i="9"/>
  <c r="G46" i="9"/>
  <c r="E41" i="9"/>
  <c r="F43" i="9"/>
  <c r="C34" i="10"/>
  <c r="C46" i="9"/>
  <c r="E42" i="9"/>
  <c r="G42" i="9"/>
  <c r="C43" i="9"/>
  <c r="E47" i="9"/>
  <c r="E43" i="9"/>
  <c r="F46" i="9"/>
  <c r="D41" i="9"/>
  <c r="E44" i="9"/>
  <c r="B58" i="9"/>
  <c r="B38" i="13" s="1"/>
  <c r="E14" i="7"/>
  <c r="E15" i="7" s="1"/>
  <c r="E35" i="7" s="1"/>
  <c r="F23" i="7"/>
  <c r="C17" i="13"/>
  <c r="C23" i="13" s="1"/>
  <c r="F26" i="11"/>
  <c r="F11" i="11"/>
  <c r="F13" i="11" s="1"/>
  <c r="F16" i="11"/>
  <c r="F6" i="8"/>
  <c r="F30" i="7"/>
  <c r="F12" i="8" l="1"/>
  <c r="F34" i="8"/>
  <c r="F18" i="11"/>
  <c r="F19" i="11" s="1"/>
  <c r="F20" i="11" s="1"/>
  <c r="B31" i="9"/>
  <c r="B44" i="13"/>
  <c r="F26" i="7"/>
  <c r="F22" i="8"/>
  <c r="F31" i="7"/>
  <c r="F28" i="11"/>
  <c r="F27" i="11"/>
  <c r="F29" i="11" s="1"/>
  <c r="B54" i="9"/>
  <c r="B55" i="9" s="1"/>
  <c r="B26" i="9"/>
  <c r="B30" i="9" s="1"/>
  <c r="B45" i="13"/>
  <c r="F40" i="11" l="1"/>
  <c r="B33" i="9"/>
  <c r="B35" i="9" s="1"/>
  <c r="B37" i="9"/>
  <c r="B57" i="9"/>
  <c r="B34" i="13"/>
  <c r="B37" i="13"/>
  <c r="B10" i="1"/>
  <c r="F21" i="8"/>
  <c r="F24" i="8" s="1"/>
  <c r="F32" i="7"/>
  <c r="F33" i="7" s="1"/>
  <c r="G29" i="7" s="1"/>
  <c r="F30" i="11"/>
  <c r="F26" i="8"/>
  <c r="F29" i="8" s="1"/>
  <c r="F30" i="8" s="1"/>
  <c r="F32" i="8"/>
  <c r="B42" i="13" l="1"/>
  <c r="B9" i="1"/>
  <c r="B33" i="13"/>
  <c r="D41" i="10"/>
  <c r="B6" i="1"/>
  <c r="E41" i="10"/>
  <c r="F48" i="11"/>
  <c r="F47" i="11"/>
  <c r="G28" i="8"/>
  <c r="F6" i="7"/>
  <c r="G19" i="6"/>
  <c r="G20" i="6" s="1"/>
  <c r="F33" i="11"/>
  <c r="F35" i="11" s="1"/>
  <c r="F38" i="11" s="1"/>
  <c r="G17" i="11"/>
  <c r="F43" i="11"/>
  <c r="F41" i="11"/>
  <c r="F42" i="11"/>
  <c r="F9" i="7" l="1"/>
  <c r="F31" i="8"/>
  <c r="F37" i="7"/>
  <c r="F38" i="7" s="1"/>
  <c r="G33" i="8"/>
  <c r="G20" i="8"/>
  <c r="G22" i="11"/>
  <c r="G22" i="6"/>
  <c r="G6" i="11" s="1"/>
  <c r="G21" i="6"/>
  <c r="D17" i="13"/>
  <c r="D23" i="13" s="1"/>
  <c r="G26" i="11"/>
  <c r="G16" i="11" l="1"/>
  <c r="G11" i="11"/>
  <c r="G13" i="11" s="1"/>
  <c r="G6" i="8"/>
  <c r="G30" i="7"/>
  <c r="G23" i="7"/>
  <c r="G28" i="11"/>
  <c r="F14" i="7"/>
  <c r="F15" i="7" s="1"/>
  <c r="F35" i="7" s="1"/>
  <c r="G34" i="8" l="1"/>
  <c r="G12" i="8"/>
  <c r="G18" i="11"/>
  <c r="G19" i="11" s="1"/>
  <c r="G30" i="11" s="1"/>
  <c r="G22" i="8"/>
  <c r="G31" i="7"/>
  <c r="G26" i="7"/>
  <c r="G47" i="11" l="1"/>
  <c r="G48" i="11"/>
  <c r="H28" i="8"/>
  <c r="G6" i="7"/>
  <c r="H19" i="6"/>
  <c r="H20" i="6" s="1"/>
  <c r="H17" i="11"/>
  <c r="G33" i="11"/>
  <c r="G35" i="11" s="1"/>
  <c r="G38" i="11" s="1"/>
  <c r="G20" i="11"/>
  <c r="G32" i="8"/>
  <c r="G21" i="8"/>
  <c r="G24" i="8" s="1"/>
  <c r="G26" i="8" s="1"/>
  <c r="G29" i="8" s="1"/>
  <c r="G30" i="8" s="1"/>
  <c r="G32" i="7"/>
  <c r="G33" i="7" s="1"/>
  <c r="H29" i="7" s="1"/>
  <c r="G27" i="11"/>
  <c r="G29" i="11" s="1"/>
  <c r="H20" i="8" l="1"/>
  <c r="H22" i="11"/>
  <c r="G40" i="11"/>
  <c r="H33" i="8"/>
  <c r="H22" i="6"/>
  <c r="H6" i="11" s="1"/>
  <c r="H21" i="6"/>
  <c r="G9" i="7"/>
  <c r="G31" i="8"/>
  <c r="G37" i="7"/>
  <c r="G38" i="7" s="1"/>
  <c r="H16" i="11" l="1"/>
  <c r="H6" i="8"/>
  <c r="H30" i="7"/>
  <c r="H11" i="11"/>
  <c r="H13" i="11" s="1"/>
  <c r="G43" i="11"/>
  <c r="G42" i="11"/>
  <c r="H26" i="11" s="1"/>
  <c r="G41" i="11"/>
  <c r="G14" i="7"/>
  <c r="G15" i="7" s="1"/>
  <c r="G35" i="7" s="1"/>
  <c r="H23" i="7"/>
  <c r="H18" i="11" l="1"/>
  <c r="H19" i="11" s="1"/>
  <c r="H30" i="11" s="1"/>
  <c r="H34" i="8"/>
  <c r="H12" i="8"/>
  <c r="H28" i="11"/>
  <c r="H26" i="7"/>
  <c r="H22" i="8"/>
  <c r="H31" i="7"/>
  <c r="H48" i="11" l="1"/>
  <c r="I28" i="8"/>
  <c r="H47" i="11"/>
  <c r="H6" i="7"/>
  <c r="I17" i="11"/>
  <c r="H33" i="11"/>
  <c r="H35" i="11" s="1"/>
  <c r="H38" i="11" s="1"/>
  <c r="I19" i="6"/>
  <c r="I20" i="6" s="1"/>
  <c r="H27" i="11"/>
  <c r="H29" i="11" s="1"/>
  <c r="H20" i="11"/>
  <c r="H32" i="8"/>
  <c r="H26" i="8"/>
  <c r="H29" i="8" s="1"/>
  <c r="H30" i="8" s="1"/>
  <c r="H21" i="8"/>
  <c r="H24" i="8" s="1"/>
  <c r="H32" i="7"/>
  <c r="H33" i="7" s="1"/>
  <c r="I29" i="7" s="1"/>
  <c r="H40" i="11" l="1"/>
  <c r="I21" i="6"/>
  <c r="I22" i="6" s="1"/>
  <c r="I6" i="11" s="1"/>
  <c r="I20" i="8"/>
  <c r="I22" i="11"/>
  <c r="I33" i="8"/>
  <c r="H31" i="8"/>
  <c r="H9" i="7"/>
  <c r="H37" i="7"/>
  <c r="H38" i="7" s="1"/>
  <c r="I16" i="11" l="1"/>
  <c r="I11" i="11"/>
  <c r="I13" i="11" s="1"/>
  <c r="I30" i="7"/>
  <c r="I6" i="8"/>
  <c r="I23" i="7"/>
  <c r="H14" i="7"/>
  <c r="H15" i="7" s="1"/>
  <c r="H35" i="7" s="1"/>
  <c r="H43" i="11"/>
  <c r="H42" i="11"/>
  <c r="I26" i="11" s="1"/>
  <c r="H41" i="11"/>
  <c r="I28" i="11" l="1"/>
  <c r="I12" i="8"/>
  <c r="I34" i="8"/>
  <c r="I18" i="11"/>
  <c r="I19" i="11" s="1"/>
  <c r="I30" i="11" s="1"/>
  <c r="I26" i="7"/>
  <c r="I31" i="7"/>
  <c r="I22" i="8"/>
  <c r="I48" i="11" l="1"/>
  <c r="I47" i="11"/>
  <c r="I6" i="7"/>
  <c r="J28" i="8"/>
  <c r="I33" i="11"/>
  <c r="I35" i="11" s="1"/>
  <c r="I38" i="11" s="1"/>
  <c r="J17" i="11"/>
  <c r="J19" i="6"/>
  <c r="J20" i="6" s="1"/>
  <c r="I32" i="7"/>
  <c r="I33" i="7" s="1"/>
  <c r="J29" i="7" s="1"/>
  <c r="I21" i="8"/>
  <c r="I24" i="8" s="1"/>
  <c r="I26" i="8"/>
  <c r="I29" i="8" s="1"/>
  <c r="I30" i="8" s="1"/>
  <c r="I32" i="8"/>
  <c r="I20" i="11"/>
  <c r="I27" i="11"/>
  <c r="I29" i="11" s="1"/>
  <c r="J20" i="8" l="1"/>
  <c r="J22" i="11"/>
  <c r="I40" i="11"/>
  <c r="J33" i="8"/>
  <c r="I31" i="8"/>
  <c r="I9" i="7"/>
  <c r="I37" i="7"/>
  <c r="I38" i="7" s="1"/>
  <c r="J21" i="6"/>
  <c r="J22" i="6"/>
  <c r="J6" i="11" s="1"/>
  <c r="J23" i="7" l="1"/>
  <c r="I14" i="7"/>
  <c r="I15" i="7" s="1"/>
  <c r="I35" i="7" s="1"/>
  <c r="I42" i="11"/>
  <c r="J26" i="11" s="1"/>
  <c r="I41" i="11"/>
  <c r="I43" i="11"/>
  <c r="J11" i="11"/>
  <c r="J13" i="11" s="1"/>
  <c r="J30" i="7"/>
  <c r="J16" i="11"/>
  <c r="J6" i="8"/>
  <c r="J28" i="11" l="1"/>
  <c r="J31" i="7"/>
  <c r="J22" i="8"/>
  <c r="J20" i="11"/>
  <c r="J34" i="8"/>
  <c r="J12" i="8"/>
  <c r="J18" i="11"/>
  <c r="J19" i="11" s="1"/>
  <c r="J26" i="7"/>
  <c r="J33" i="7" l="1"/>
  <c r="K29" i="7" s="1"/>
  <c r="J32" i="8"/>
  <c r="J21" i="8"/>
  <c r="J24" i="8" s="1"/>
  <c r="J26" i="8" s="1"/>
  <c r="J29" i="8" s="1"/>
  <c r="J30" i="8" s="1"/>
  <c r="J32" i="7"/>
  <c r="J27" i="11"/>
  <c r="J29" i="11" s="1"/>
  <c r="J30" i="11"/>
  <c r="J40" i="11" l="1"/>
  <c r="J47" i="11"/>
  <c r="J48" i="11"/>
  <c r="J6" i="7"/>
  <c r="K28" i="8"/>
  <c r="K17" i="11"/>
  <c r="J33" i="11"/>
  <c r="J35" i="11" s="1"/>
  <c r="J38" i="11" s="1"/>
  <c r="K19" i="6"/>
  <c r="K20" i="6" s="1"/>
  <c r="K21" i="6" l="1"/>
  <c r="K22" i="6"/>
  <c r="K6" i="11" s="1"/>
  <c r="K20" i="8"/>
  <c r="K22" i="11"/>
  <c r="J43" i="11"/>
  <c r="J41" i="11"/>
  <c r="J42" i="11"/>
  <c r="K26" i="11" s="1"/>
  <c r="K33" i="8"/>
  <c r="J31" i="8"/>
  <c r="J9" i="7"/>
  <c r="J37" i="7"/>
  <c r="J38" i="7" s="1"/>
  <c r="K11" i="11" l="1"/>
  <c r="K13" i="11" s="1"/>
  <c r="K30" i="7"/>
  <c r="K16" i="11"/>
  <c r="K6" i="8"/>
  <c r="K28" i="11"/>
  <c r="K23" i="7"/>
  <c r="J14" i="7"/>
  <c r="J15" i="7" s="1"/>
  <c r="J35" i="7" s="1"/>
  <c r="K26" i="7" l="1"/>
  <c r="K34" i="8"/>
  <c r="K12" i="8"/>
  <c r="K22" i="8"/>
  <c r="K31" i="7"/>
  <c r="K18" i="11"/>
  <c r="K19" i="11" s="1"/>
  <c r="K30" i="11" s="1"/>
  <c r="L28" i="8" l="1"/>
  <c r="K47" i="11"/>
  <c r="K6" i="7"/>
  <c r="K48" i="11"/>
  <c r="K33" i="11"/>
  <c r="K35" i="11" s="1"/>
  <c r="K38" i="11" s="1"/>
  <c r="L19" i="6"/>
  <c r="L20" i="6" s="1"/>
  <c r="L17" i="11"/>
  <c r="K20" i="11"/>
  <c r="K32" i="8"/>
  <c r="K21" i="8"/>
  <c r="K24" i="8" s="1"/>
  <c r="K26" i="8" s="1"/>
  <c r="K29" i="8" s="1"/>
  <c r="K30" i="8" s="1"/>
  <c r="K32" i="7"/>
  <c r="K33" i="7" s="1"/>
  <c r="K27" i="11"/>
  <c r="K29" i="11" s="1"/>
  <c r="L29" i="7" l="1"/>
  <c r="L21" i="6"/>
  <c r="L22" i="6" s="1"/>
  <c r="L6" i="11" s="1"/>
  <c r="K31" i="8"/>
  <c r="K9" i="7"/>
  <c r="K37" i="7"/>
  <c r="K38" i="7" s="1"/>
  <c r="K40" i="11"/>
  <c r="L33" i="8"/>
  <c r="L20" i="8"/>
  <c r="L22" i="11"/>
  <c r="L11" i="11" l="1"/>
  <c r="L13" i="11" s="1"/>
  <c r="L6" i="8"/>
  <c r="L16" i="11"/>
  <c r="L30" i="7"/>
  <c r="L23" i="7"/>
  <c r="K43" i="11"/>
  <c r="K42" i="11"/>
  <c r="L26" i="11" s="1"/>
  <c r="K41" i="11"/>
  <c r="K14" i="7"/>
  <c r="K15" i="7" s="1"/>
  <c r="K35" i="7" s="1"/>
  <c r="L34" i="8" l="1"/>
  <c r="L12" i="8"/>
  <c r="L26" i="7"/>
  <c r="L22" i="8"/>
  <c r="L20" i="11"/>
  <c r="L31" i="7"/>
  <c r="L28" i="11"/>
  <c r="L18" i="11"/>
  <c r="L19" i="11" s="1"/>
  <c r="L32" i="7" l="1"/>
  <c r="L33" i="7" s="1"/>
  <c r="L21" i="8"/>
  <c r="L24" i="8" s="1"/>
  <c r="L30" i="11"/>
  <c r="L32" i="8"/>
  <c r="L26" i="8"/>
  <c r="L29" i="8" s="1"/>
  <c r="L30" i="8" s="1"/>
  <c r="B48" i="1" s="1"/>
  <c r="L27" i="11"/>
  <c r="L29" i="11" s="1"/>
  <c r="L40" i="11" s="1"/>
  <c r="L42" i="11" l="1"/>
  <c r="L41" i="11"/>
  <c r="L43" i="11"/>
  <c r="L48" i="11"/>
  <c r="L47" i="11"/>
  <c r="L6" i="7"/>
  <c r="L33" i="11"/>
  <c r="L35" i="11" s="1"/>
  <c r="L38" i="11" s="1"/>
  <c r="L9" i="7" l="1"/>
  <c r="L31" i="8"/>
  <c r="L37" i="7"/>
  <c r="L38" i="7" s="1"/>
  <c r="L15" i="7" l="1"/>
  <c r="L35" i="7" s="1"/>
  <c r="B47" i="1" s="1"/>
  <c r="L14" i="7"/>
</calcChain>
</file>

<file path=xl/sharedStrings.xml><?xml version="1.0" encoding="utf-8"?>
<sst xmlns="http://schemas.openxmlformats.org/spreadsheetml/2006/main" count="680" uniqueCount="494">
  <si>
    <t>MOODY'S CORPORATION (MCO)</t>
  </si>
  <si>
    <t>Discounted Cash Flow Valuation Model</t>
  </si>
  <si>
    <t>Version 11 | February 15, 2026</t>
  </si>
  <si>
    <t>KEY OUTPUTS (BASE CASE)</t>
  </si>
  <si>
    <t>Implied Share Price</t>
  </si>
  <si>
    <t>WACC</t>
  </si>
  <si>
    <t>Terminal Growth Rate</t>
  </si>
  <si>
    <t>TV/EV</t>
  </si>
  <si>
    <t>Implied Terminal EV/EBITDA</t>
  </si>
  <si>
    <t>Formulas</t>
  </si>
  <si>
    <t>Tabs</t>
  </si>
  <si>
    <t>SCENARIO RANGE</t>
  </si>
  <si>
    <t>Downside</t>
  </si>
  <si>
    <t>$284</t>
  </si>
  <si>
    <t>Base</t>
  </si>
  <si>
    <t>$367</t>
  </si>
  <si>
    <t>Upside</t>
  </si>
  <si>
    <t>$426</t>
  </si>
  <si>
    <t>TABLE OF CONTENTS</t>
  </si>
  <si>
    <t>00_Cover</t>
  </si>
  <si>
    <t>Table of contents, key outputs, sources</t>
  </si>
  <si>
    <t>01_Historicals</t>
  </si>
  <si>
    <t>FY2023-FY2024 hardcoded actuals (IS/BS/CFS)</t>
  </si>
  <si>
    <t>02_Segments</t>
  </si>
  <si>
    <t>MIS/MA LOB detail, FactSet segment history FY19-FY24</t>
  </si>
  <si>
    <t>03_Drivers</t>
  </si>
  <si>
    <t>MW index, growth assumptions, policy params, equity bridge toggle</t>
  </si>
  <si>
    <t>04_Revenue</t>
  </si>
  <si>
    <t>MIS + MA revenue build, FY25E-FY33E</t>
  </si>
  <si>
    <t>05_IncStmt</t>
  </si>
  <si>
    <t>Projected P&amp;L (GAAP + Adjusted)</t>
  </si>
  <si>
    <t>06_BS</t>
  </si>
  <si>
    <t>Projected balance sheet, equity roll-forward</t>
  </si>
  <si>
    <t>07_CashFlow</t>
  </si>
  <si>
    <t>CFO/CFI/CFF with cash reconciliation</t>
  </si>
  <si>
    <t>08_DFCF</t>
  </si>
  <si>
    <t>UFCF → PV → EV → equity → price, sensitivity table</t>
  </si>
  <si>
    <t>09_WACC</t>
  </si>
  <si>
    <t>CAPM, FactSet beta package, peer cross-check, governance</t>
  </si>
  <si>
    <t>10_CapAlloc</t>
  </si>
  <si>
    <t>Capital allocation: buybacks, dividends, debt, shares</t>
  </si>
  <si>
    <t>11_Scenarios</t>
  </si>
  <si>
    <t>Base/Downside/Upside toggle + annual borrowing cap schedule</t>
  </si>
  <si>
    <t>12_SanityChk</t>
  </si>
  <si>
    <t>Consensus variance, MW integrity, beta band, TV/EV</t>
  </si>
  <si>
    <t>13_DebtSched</t>
  </si>
  <si>
    <t>14 bonds, $7.2B face, static schedule</t>
  </si>
  <si>
    <t>14_DeferredRev</t>
  </si>
  <si>
    <t>Deferred revenue schedule, 46% of MA revenue</t>
  </si>
  <si>
    <t>SOURCES &amp; METHODOLOGY</t>
  </si>
  <si>
    <t>Historical financials: FactSet Fundamentals (FY19-FY24)</t>
  </si>
  <si>
    <t>Segment data: FactSet Segment Detail (MIS/MA revenue, OI, margins)</t>
  </si>
  <si>
    <t>Beta: FactSet Adj 5Y Beta (vs S&amp;P 500, daily), Feb 2026. R²=0.51.</t>
  </si>
  <si>
    <t>Capital structure: FactSet Capital Structure (FY20-FY24)</t>
  </si>
  <si>
    <t>Consensus: FactSet Estimates (FY25E-FY27E)</t>
  </si>
  <si>
    <t>Maturity wall: FactSet Universal Screening — 160,224 global corporate bonds ($40.7T)</t>
  </si>
  <si>
    <t>MW scope: Global corporate bonds only. Leveraged loans &amp; private credit excluded.</t>
  </si>
  <si>
    <t>Model assumes MIS margin 62.0% FY25E (guidance-aligned) fading to 58% Base terminal. No M&amp;A premium.</t>
  </si>
  <si>
    <t>MODEL QA SUMMARY</t>
  </si>
  <si>
    <t>Balance Sheet ties</t>
  </si>
  <si>
    <t>Cash flow reconciles</t>
  </si>
  <si>
    <t>NWC ties to B/S</t>
  </si>
  <si>
    <t>Formula errors</t>
  </si>
  <si>
    <t>(verified via recalc.py)</t>
  </si>
  <si>
    <t>Scenario toggle verified</t>
  </si>
  <si>
    <t>PASS (Base/Down/Up all validate)</t>
  </si>
  <si>
    <t>Last updated</t>
  </si>
  <si>
    <t>February 15, 2026</t>
  </si>
  <si>
    <t>Source: FactSet + MCO 10-K/Earnings Release</t>
  </si>
  <si>
    <t>Moody's Corporation — Historical Financials</t>
  </si>
  <si>
    <t>Source: MCO FY2024 10-K, FactSet</t>
  </si>
  <si>
    <t>($M unless noted)</t>
  </si>
  <si>
    <t>FY2023</t>
  </si>
  <si>
    <t>FY2024</t>
  </si>
  <si>
    <t>INCOME STATEMENT</t>
  </si>
  <si>
    <t>Total Revenue</t>
  </si>
  <si>
    <t xml:space="preserve">  MIS Revenue</t>
  </si>
  <si>
    <t xml:space="preserve">  MA Revenue</t>
  </si>
  <si>
    <t>Operating Expenses (GAAP)</t>
  </si>
  <si>
    <t>Operating Income (GAAP)</t>
  </si>
  <si>
    <t>Adjusted Operating Income</t>
  </si>
  <si>
    <t xml:space="preserve">  MIS Adj Operating Income</t>
  </si>
  <si>
    <t xml:space="preserve">  MA Adj Operating Income</t>
  </si>
  <si>
    <t>Interest Expense</t>
  </si>
  <si>
    <t>Pretax Income (GAAP)</t>
  </si>
  <si>
    <t>Tax Expense</t>
  </si>
  <si>
    <t>Net Income (GAAP)</t>
  </si>
  <si>
    <t>Diluted EPS (GAAP)</t>
  </si>
  <si>
    <t>Adjusted Diluted EPS</t>
  </si>
  <si>
    <t>Diluted Shares (M)</t>
  </si>
  <si>
    <t>ETR</t>
  </si>
  <si>
    <t>ADJUSTING ITEMS</t>
  </si>
  <si>
    <t>SBC</t>
  </si>
  <si>
    <t>Acquisition Intangible Amort</t>
  </si>
  <si>
    <t>Total D&amp;A</t>
  </si>
  <si>
    <t>Restructuring Charges</t>
  </si>
  <si>
    <t>Asset Abandonment</t>
  </si>
  <si>
    <t>BALANCE SHEET</t>
  </si>
  <si>
    <t>Cash + ST Investments</t>
  </si>
  <si>
    <t>Total Assets</t>
  </si>
  <si>
    <t>Current Deferred Revenue</t>
  </si>
  <si>
    <t>Non-Current Deferred Revenue</t>
  </si>
  <si>
    <t>Total Deferred Revenue</t>
  </si>
  <si>
    <t>LT Debt</t>
  </si>
  <si>
    <t>Current Portion LTD</t>
  </si>
  <si>
    <t>Total Debt</t>
  </si>
  <si>
    <t>Net Debt</t>
  </si>
  <si>
    <t>Total Equity</t>
  </si>
  <si>
    <t>Basic Shares Outstanding (M)</t>
  </si>
  <si>
    <t>CASH FLOW STATEMENT</t>
  </si>
  <si>
    <t>Cash from Operations</t>
  </si>
  <si>
    <t>Capex</t>
  </si>
  <si>
    <t>Free Cash Flow</t>
  </si>
  <si>
    <t>Buybacks</t>
  </si>
  <si>
    <t>Dividends</t>
  </si>
  <si>
    <t>Net Borrowing</t>
  </si>
  <si>
    <t>Delta Deferred Revenue</t>
  </si>
  <si>
    <t>KEY RATIOS</t>
  </si>
  <si>
    <t>Revenue Growth</t>
  </si>
  <si>
    <t>Adj Operating Margin</t>
  </si>
  <si>
    <t>MIS Adj Op Margin</t>
  </si>
  <si>
    <t>MA Adj Op Margin</t>
  </si>
  <si>
    <t>FCF Conversion (NI)</t>
  </si>
  <si>
    <t>Capex % Revenue</t>
  </si>
  <si>
    <t>SBC % Revenue</t>
  </si>
  <si>
    <t>Net Debt / EBITDA</t>
  </si>
  <si>
    <t>Dividend Payout (NI)</t>
  </si>
  <si>
    <t>Segment Revenue Detail</t>
  </si>
  <si>
    <t>MIS LOB and MA LOB breakdown. Transaction vs. Recurring split.</t>
  </si>
  <si>
    <t>MIS REVENUE BY LOB</t>
  </si>
  <si>
    <t xml:space="preserve">  Corporate Finance</t>
  </si>
  <si>
    <t xml:space="preserve">  Structured Finance</t>
  </si>
  <si>
    <t xml:space="preserve">  Financial Institutions</t>
  </si>
  <si>
    <t xml:space="preserve">  Public, Project &amp; Infra</t>
  </si>
  <si>
    <t xml:space="preserve">  MIS Other</t>
  </si>
  <si>
    <t>Total MIS</t>
  </si>
  <si>
    <t>MIS TRANSACTION vs. RECURRING</t>
  </si>
  <si>
    <t xml:space="preserve">  Transaction</t>
  </si>
  <si>
    <t xml:space="preserve">  Recurring</t>
  </si>
  <si>
    <t>MA REVENUE BY LOB</t>
  </si>
  <si>
    <t xml:space="preserve">  Decision Solutions</t>
  </si>
  <si>
    <t xml:space="preserve">  Research &amp; Insights</t>
  </si>
  <si>
    <t>FACTSET SEGMENT HISTORY (FY19-FY24)</t>
  </si>
  <si>
    <t>Total MA</t>
  </si>
  <si>
    <t>FY2019</t>
  </si>
  <si>
    <t>FY2020</t>
  </si>
  <si>
    <t>FY2021</t>
  </si>
  <si>
    <t>FY2022</t>
  </si>
  <si>
    <t>MIS Revenue</t>
  </si>
  <si>
    <t>MA Revenue</t>
  </si>
  <si>
    <t>MIS Operating Income</t>
  </si>
  <si>
    <t>MA Operating Income</t>
  </si>
  <si>
    <t xml:space="preserve">  Decision Solutions ARR</t>
  </si>
  <si>
    <t>MIS Operating Margin</t>
  </si>
  <si>
    <t>MA Operating Margin</t>
  </si>
  <si>
    <t>Total MA ARR</t>
  </si>
  <si>
    <t>Source: FactSet Segment History (MCO-US). GAAP operating margins. MIS trough ~50% (FY22), peak ~63% (FY21).</t>
  </si>
  <si>
    <t>Revenue Drivers &amp; Maturity Wall Index</t>
  </si>
  <si>
    <t>Scope: Global corporate bonds ($40.7T, 160K issues). Leveraged loans &amp; private credit excluded (directionally additive).</t>
  </si>
  <si>
    <t>Source: FactSet Universal Screening — 160,224 Global Corporate Bonds</t>
  </si>
  <si>
    <t>FY2025E</t>
  </si>
  <si>
    <t>FY2026E</t>
  </si>
  <si>
    <t>FY2027E</t>
  </si>
  <si>
    <t>FY2028E</t>
  </si>
  <si>
    <t>FY2029E</t>
  </si>
  <si>
    <t>FY2030E</t>
  </si>
  <si>
    <t>FY2031E</t>
  </si>
  <si>
    <t>FY2032E</t>
  </si>
  <si>
    <t>FY2033E</t>
  </si>
  <si>
    <t>MATURITY WALL DATA</t>
  </si>
  <si>
    <t>MW Raw (Model) ($T)</t>
  </si>
  <si>
    <t>n/a</t>
  </si>
  <si>
    <t>MW Raw (Reference) — FactSet handoff, Feb 2026</t>
  </si>
  <si>
    <t>Δ (Model − Reference)</t>
  </si>
  <si>
    <t>Data Integrity Check</t>
  </si>
  <si>
    <t>Reference series (FactSet handoff, Feb 2026)</t>
  </si>
  <si>
    <t>MW Driver Series (used in Index) ($T)</t>
  </si>
  <si>
    <t>MW Baseline (5Y trailing avg)</t>
  </si>
  <si>
    <t>MW Index (vs 5Y baseline)</t>
  </si>
  <si>
    <t>MIS GROWTH ENGINE</t>
  </si>
  <si>
    <t>Raw MW Tailwind (k × (Index-1))</t>
  </si>
  <si>
    <t>Capped MW Tailwind</t>
  </si>
  <si>
    <t>MIS Revenue Growth</t>
  </si>
  <si>
    <t>MA GROWTH ENGINE</t>
  </si>
  <si>
    <t>MA Base Growth</t>
  </si>
  <si>
    <t>GenAI Uplift</t>
  </si>
  <si>
    <t>Headwind Overlay</t>
  </si>
  <si>
    <t>MA Revenue Growth</t>
  </si>
  <si>
    <t>MARGIN ASSUMPTIONS</t>
  </si>
  <si>
    <t>MIS margin sensitivity: Base starts 63.5% → 58%. Alt: start 61.5% → 63% over 3Y, then fade. See 08_DFCF sensitivity table for price impact.</t>
  </si>
  <si>
    <t>MIS Adj Operating Margin</t>
  </si>
  <si>
    <t>Source: MCO Q4 2024 Earnings Release. MIS Adj OI Margin: 60.1% FY24A, ~200bp expansion guided FY25 → ~62%. Fade to 58% Base terminal.</t>
  </si>
  <si>
    <t>MA Adj Operating Margin</t>
  </si>
  <si>
    <t>Source: MCO Q4 2024 Earnings Release, Table 5 (SEC, Feb 13 2025). MA Adj OI Margin: 30.7% FY24A, mgmt guide 32-33% FY25E.</t>
  </si>
  <si>
    <t>POLICY ANCHORS (from Active Scenario)</t>
  </si>
  <si>
    <t>Cash Tax Rate</t>
  </si>
  <si>
    <t>SBC (% of Revenue)</t>
  </si>
  <si>
    <t>Capex (% of Revenue)</t>
  </si>
  <si>
    <t>Dividend Payout (% of NI)</t>
  </si>
  <si>
    <t>Buyback Policy P/E</t>
  </si>
  <si>
    <t>Leverage Target</t>
  </si>
  <si>
    <t>Cash Floor ($M)</t>
  </si>
  <si>
    <t>Net Borrowing Cap ($M/yr)</t>
  </si>
  <si>
    <t>Annual Borrow Cap Schedule</t>
  </si>
  <si>
    <t>EQUITY BRIDGE SETTINGS</t>
  </si>
  <si>
    <t>Bridge Date (1=FY24A, 2=FY25E)</t>
  </si>
  <si>
    <t>NWC Intensity (% of ΔRev, ex-DefRev)</t>
  </si>
  <si>
    <t>Leverage Deadzone (x)</t>
  </si>
  <si>
    <t>Leverage Borrow Trigger (x)</t>
  </si>
  <si>
    <t>Convergence Speed (%)</t>
  </si>
  <si>
    <t>Revenue Build</t>
  </si>
  <si>
    <t>SEGMENT REVENUE</t>
  </si>
  <si>
    <t xml:space="preserve">    MIS Growth (%)</t>
  </si>
  <si>
    <t xml:space="preserve">    MA Growth (%)</t>
  </si>
  <si>
    <t xml:space="preserve">    Total Growth (%)</t>
  </si>
  <si>
    <t>MIS % of Total</t>
  </si>
  <si>
    <t>MIS Adj Operating Income</t>
  </si>
  <si>
    <t>MA Adj Operating Income</t>
  </si>
  <si>
    <t>Total Adj Operating Income</t>
  </si>
  <si>
    <t xml:space="preserve">  Adj Operating Margin</t>
  </si>
  <si>
    <t>Less: SBC</t>
  </si>
  <si>
    <t>Less: Acq Intangible Amort</t>
  </si>
  <si>
    <t>Less: Restructuring &amp; Other</t>
  </si>
  <si>
    <t>GAAP Operating Income</t>
  </si>
  <si>
    <t>Net Interest (expense + income)</t>
  </si>
  <si>
    <t>Pretax Income</t>
  </si>
  <si>
    <t>Net Income</t>
  </si>
  <si>
    <t>D&amp;A</t>
  </si>
  <si>
    <t>Adj EBITDA</t>
  </si>
  <si>
    <t>Net interest: -(avg debt × 4.0%) + (avg cash × 3.5%). Other non-op: +$60M in Pretax (FY24A: $61M). Source: FactSet.</t>
  </si>
  <si>
    <t>Source: MCO 10-K, FactSet. Simplified projection model.</t>
  </si>
  <si>
    <t>ASSETS</t>
  </si>
  <si>
    <t>Cash &amp; ST Investments</t>
  </si>
  <si>
    <t>Accounts Receivable</t>
  </si>
  <si>
    <t>Other Current Assets</t>
  </si>
  <si>
    <t>Total Current Assets</t>
  </si>
  <si>
    <t>PP&amp;E, Net</t>
  </si>
  <si>
    <t>Goodwill</t>
  </si>
  <si>
    <t>Intangible Assets, Net</t>
  </si>
  <si>
    <t>Other Non-Current Assets (plug: DTA, investments, other LT assets not explicitly modeled)</t>
  </si>
  <si>
    <t>LIABILITIES</t>
  </si>
  <si>
    <t>AP &amp; Accrued Liabilities</t>
  </si>
  <si>
    <t>Other Current Liabilities</t>
  </si>
  <si>
    <t>Total Current Liabilities</t>
  </si>
  <si>
    <t>Other LT Liabilities</t>
  </si>
  <si>
    <t>Total Liabilities</t>
  </si>
  <si>
    <t>EQUITY (Roll-Forward)</t>
  </si>
  <si>
    <t>Beginning Equity</t>
  </si>
  <si>
    <t xml:space="preserve">  + Net Income</t>
  </si>
  <si>
    <t xml:space="preserve">  - Dividends</t>
  </si>
  <si>
    <t xml:space="preserve">  - Buybacks</t>
  </si>
  <si>
    <t>Ending Total Equity</t>
  </si>
  <si>
    <t>Check: Assets = Liab + Equity</t>
  </si>
  <si>
    <t>Projected Cash Flow Statement</t>
  </si>
  <si>
    <t>Derived from Income Statement, Balance Sheet, Capital Allocation</t>
  </si>
  <si>
    <t>CASH FROM OPERATIONS</t>
  </si>
  <si>
    <t>Δ Deferred Revenue</t>
  </si>
  <si>
    <t>Δ Other Working Capital</t>
  </si>
  <si>
    <t>Other Non-Cash Items</t>
  </si>
  <si>
    <t>CASH FROM INVESTING</t>
  </si>
  <si>
    <t>Acquisitions &amp; Other Investing</t>
  </si>
  <si>
    <t>Cash from Investing</t>
  </si>
  <si>
    <t>CASH FROM FINANCING</t>
  </si>
  <si>
    <t>Other Financing</t>
  </si>
  <si>
    <t>Cash from Financing</t>
  </si>
  <si>
    <t>Net Change in Cash</t>
  </si>
  <si>
    <t>Beginning Cash</t>
  </si>
  <si>
    <t>Ending Cash</t>
  </si>
  <si>
    <t>Check: Tie to BS</t>
  </si>
  <si>
    <t>BS Cash (cross-ref)</t>
  </si>
  <si>
    <t>Free Cash Flow (CFO - Capex)</t>
  </si>
  <si>
    <t>Note: FY23-FY24 historical cash gap reflects FX translation, acquisitions, and rounding vs FactSet source data.</t>
  </si>
  <si>
    <t>Projection years (FY25E+) reconcile exactly because all cash flows are modeled from B/S components.</t>
  </si>
  <si>
    <t>Adj Operating Income</t>
  </si>
  <si>
    <t>Less: Cash Taxes</t>
  </si>
  <si>
    <t>NOPAT</t>
  </si>
  <si>
    <t>Plus: D&amp;A</t>
  </si>
  <si>
    <t>Less: Capex</t>
  </si>
  <si>
    <t>Plus: SBC (non-cash)</t>
  </si>
  <si>
    <t>SBC Treatment: Option A — added back in UFCF as non-cash, with dilution captured via share count engine (SBC$/buyback price → net issuance). This avoids double-counting and matches consensus UFCF convention.</t>
  </si>
  <si>
    <t>Less: ΔOther NWC (ex-DeferredRev, from B/S)</t>
  </si>
  <si>
    <t>Plus: ΔDeferred Revenue</t>
  </si>
  <si>
    <t>Unlevered Free Cash Flow</t>
  </si>
  <si>
    <t>Discount Period</t>
  </si>
  <si>
    <t>Discount Factor</t>
  </si>
  <si>
    <t>PV of UFCF</t>
  </si>
  <si>
    <t>TERMINAL VALUE</t>
  </si>
  <si>
    <t>Terminal Year UFCF (FY33)</t>
  </si>
  <si>
    <t>Terminal Value</t>
  </si>
  <si>
    <t>PV of Terminal Value</t>
  </si>
  <si>
    <t>VALUATION SUMMARY</t>
  </si>
  <si>
    <t>Sum of PV of UFCF</t>
  </si>
  <si>
    <t>Enterprise Value</t>
  </si>
  <si>
    <t>Less: Net Debt</t>
  </si>
  <si>
    <t>Equity Value</t>
  </si>
  <si>
    <t>TV as % of EV</t>
  </si>
  <si>
    <t>SENSITIVITY: Implied Share Price</t>
  </si>
  <si>
    <t>Terminal Growth →</t>
  </si>
  <si>
    <t>WACC ↓</t>
  </si>
  <si>
    <t>Note: MCO trades at ~33x forward earnings (~$500+). The DCF implies ~$367 at 8.6% WACC,</t>
  </si>
  <si>
    <t>reflecting FactSet Adj 5Y beta (1.06) and ~13x implied terminal EV/EBITDA vs market ~20-25x.</t>
  </si>
  <si>
    <t>IMPLIED TERMINAL MULTIPLE CHECK</t>
  </si>
  <si>
    <t>Terminal Year EBITDA (FY33E)</t>
  </si>
  <si>
    <t>Terminal EV (undiscounted)</t>
  </si>
  <si>
    <t>Implied EV/EBITDA (terminal)</t>
  </si>
  <si>
    <t>Market reference range</t>
  </si>
  <si>
    <t>18x-22x</t>
  </si>
  <si>
    <t>Status</t>
  </si>
  <si>
    <t>At peer-median WACC (8.8%)</t>
  </si>
  <si>
    <t>Weighted Average Cost of Capital</t>
  </si>
  <si>
    <t>COST OF EQUITY</t>
  </si>
  <si>
    <t>Risk-Free Rate (10-yr UST)</t>
  </si>
  <si>
    <t>Source: FactSet</t>
  </si>
  <si>
    <t>Equity Risk Premium</t>
  </si>
  <si>
    <t>Beta (5-yr monthly)</t>
  </si>
  <si>
    <t>Source: FactSet Adj 5Y Beta (vs S&amp;P 500, daily), Feb 2026</t>
  </si>
  <si>
    <t>Size Premium</t>
  </si>
  <si>
    <t>Cost of Equity (Ke)</t>
  </si>
  <si>
    <t>COST OF DEBT</t>
  </si>
  <si>
    <t>Pre-Tax Cost of Debt</t>
  </si>
  <si>
    <t>Tax Rate</t>
  </si>
  <si>
    <t>After-Tax Cost of Debt (Kd)</t>
  </si>
  <si>
    <t>Equity Weight</t>
  </si>
  <si>
    <t>Debt Weight</t>
  </si>
  <si>
    <t>BOTTOM-UP BETA CROSS-CHECK</t>
  </si>
  <si>
    <t>Comparable</t>
  </si>
  <si>
    <t>Beta</t>
  </si>
  <si>
    <t>Peer Median (SPGI/MSCI/VRSK/FDS)</t>
  </si>
  <si>
    <t>Source: FactSet Adj 5Y Beta</t>
  </si>
  <si>
    <t>MCO Raw 5Y Beta</t>
  </si>
  <si>
    <t>Source: FactSet Raw 5Y Beta</t>
  </si>
  <si>
    <t>MCO 52-Week Beta</t>
  </si>
  <si>
    <t>MCO Unlevered 5Y Beta</t>
  </si>
  <si>
    <t>Moody's (MCO) — FactSet</t>
  </si>
  <si>
    <t>Peer Median Adj Beta</t>
  </si>
  <si>
    <t>R-squared (MCO regression)</t>
  </si>
  <si>
    <t>BETA SENSITIVITY BAND</t>
  </si>
  <si>
    <t>Implied Ke</t>
  </si>
  <si>
    <t>Implied WACC</t>
  </si>
  <si>
    <t>Implied Price (from 08_DFCF sensitivity)</t>
  </si>
  <si>
    <t>Source: FactSet Adj 5Y Beta = 1.06 (R² = 0.51). Peer median Adj 5Y = 0.88.</t>
  </si>
  <si>
    <t>Adj beta preferred over raw (Blume adjustment toward 1.0). R² of 0.51 = moderate fit.</t>
  </si>
  <si>
    <t>VALUATION GOVERNANCE SUMMARY</t>
  </si>
  <si>
    <t>Scenario</t>
  </si>
  <si>
    <t>Implied Price</t>
  </si>
  <si>
    <t>Implied $/sh</t>
  </si>
  <si>
    <t>Base (FactSet Adj 5Y)</t>
  </si>
  <si>
    <t>Peer Median (Adj 5Y)</t>
  </si>
  <si>
    <t>Stress (Raw 5Y)</t>
  </si>
  <si>
    <t>Key: FactSet Adj 5Y beta (1.06) implies ~$367; peer median (0.88) implies ~$427. The ~27% gap is primarily discount rate.</t>
  </si>
  <si>
    <t>Capital Allocation Engine</t>
  </si>
  <si>
    <t>Buyback plug, dividend policy, leverage guardrails, share count</t>
  </si>
  <si>
    <t>SOURCES OF CASH</t>
  </si>
  <si>
    <t>SBC (non-cash add-back)</t>
  </si>
  <si>
    <t>Δ Other NWC (ex-DeferredRev, from B/S)</t>
  </si>
  <si>
    <t>Cash from Operations (est.)</t>
  </si>
  <si>
    <t>Levered FCF (pre-allocation)</t>
  </si>
  <si>
    <t>USES OF CASH</t>
  </si>
  <si>
    <t>Net Borrowing (+issuance/-repayment)</t>
  </si>
  <si>
    <t>Cash Available for Buybacks</t>
  </si>
  <si>
    <t>Buybacks (spend)</t>
  </si>
  <si>
    <t>Total Capital Returned</t>
  </si>
  <si>
    <t>Total Debt (end of period)</t>
  </si>
  <si>
    <t>SHARE COUNT ENGINE</t>
  </si>
  <si>
    <t>Implied Buyback Price (P/E × Prior Yr Adj EPS)</t>
  </si>
  <si>
    <t>Shares Repurchased (M)</t>
  </si>
  <si>
    <t>SBC Dilution (new shares, M)</t>
  </si>
  <si>
    <t>Shares Outstanding (M, EoP)</t>
  </si>
  <si>
    <t>Ending Cash &amp; ST Investments</t>
  </si>
  <si>
    <t>Cash floor is buyback constraint only (buybacks stop before breaching floor). Not a hard liquidity constraint — company has $1.25B undrawn revolver.</t>
  </si>
  <si>
    <t>Max annual cash drawdown for buybacks ($M)</t>
  </si>
  <si>
    <t>LEVERAGE CHECKS</t>
  </si>
  <si>
    <t>EBITDA</t>
  </si>
  <si>
    <t>Target (from Scenario)</t>
  </si>
  <si>
    <t>Red Flag Boundary</t>
  </si>
  <si>
    <t>Diluted Avg Shares (M)</t>
  </si>
  <si>
    <t>GAAP Diluted EPS</t>
  </si>
  <si>
    <t>Adj Diluted EPS</t>
  </si>
  <si>
    <t>CAPITAL RETURNS &amp; LEVERAGE POLICY</t>
  </si>
  <si>
    <t>Policy: Maintain ND/EBITDA near target (Base 1.75x, ±deadzone 0.15x) via net borrowing. Excess cash above floor deployed to buybacks (pacing cap $750M/yr). Dividends grow with NI (payout ratio from 11_Scenarios). Revolver ($1.25B undrawn) provides liquidity backstop.</t>
  </si>
  <si>
    <t>LIQUIDITY BACKSTOP</t>
  </si>
  <si>
    <t>Undrawn Revolver Capacity ($M)</t>
  </si>
  <si>
    <t>Cash Breach Flag (cash &lt; floor?)</t>
  </si>
  <si>
    <t>Liquidity Headroom (Cash + Revolver - Floor)</t>
  </si>
  <si>
    <t>Scenario Assumptions</t>
  </si>
  <si>
    <t>Toggle cell B4 to switch: 1=Base, 2=Downside, 3=Upside</t>
  </si>
  <si>
    <t>ACTIVE SCENARIO</t>
  </si>
  <si>
    <t>Parameter</t>
  </si>
  <si>
    <t>Active (via CHOOSE)</t>
  </si>
  <si>
    <t>MIS Base Volume Growth</t>
  </si>
  <si>
    <t>MIS Pricing Alpha</t>
  </si>
  <si>
    <t>MW k-factor</t>
  </si>
  <si>
    <t>MW Tailwind Cap</t>
  </si>
  <si>
    <t>MIS FY26 Freeze (1=Yes, 0=No)</t>
  </si>
  <si>
    <t>MA Base Growth (FY26-28)</t>
  </si>
  <si>
    <t>MA Base Growth (FY29-33 fade)</t>
  </si>
  <si>
    <t>GenAI Uplift (FY26-28 only)</t>
  </si>
  <si>
    <t>MA Downside Headwind (FY26-28)</t>
  </si>
  <si>
    <t>AOM Target (FY33)</t>
  </si>
  <si>
    <t>MIS Adj Op Margin (long-run)</t>
  </si>
  <si>
    <t>MA Adj Op Margin (FY33)</t>
  </si>
  <si>
    <t>Leverage Target (Net Debt/EBITDA)</t>
  </si>
  <si>
    <t>Leverage Red Flag</t>
  </si>
  <si>
    <t>ANNUAL BORROWING CAP SCHEDULE ($M)</t>
  </si>
  <si>
    <t>FY25E</t>
  </si>
  <si>
    <t>FY26E</t>
  </si>
  <si>
    <t>FY27E</t>
  </si>
  <si>
    <t>FY28E</t>
  </si>
  <si>
    <t>FY29E</t>
  </si>
  <si>
    <t>FY30E</t>
  </si>
  <si>
    <t>FY31E</t>
  </si>
  <si>
    <t>FY32E</t>
  </si>
  <si>
    <t>FY33E</t>
  </si>
  <si>
    <t>Base Borrow Cap</t>
  </si>
  <si>
    <t>Downside Borrow Cap</t>
  </si>
  <si>
    <t>Upside Borrow Cap</t>
  </si>
  <si>
    <t>Active Borrow Cap</t>
  </si>
  <si>
    <t>Sanity Check vs Consensus</t>
  </si>
  <si>
    <t>Source: FactSet Consensus (Feb 2026)</t>
  </si>
  <si>
    <t>CONSENSUS (FactSet)</t>
  </si>
  <si>
    <t>Revenue</t>
  </si>
  <si>
    <t>MODEL OUTPUT</t>
  </si>
  <si>
    <t>VARIANCE (Model - Consensus)</t>
  </si>
  <si>
    <t>DATA INTEGRITY CHECKS</t>
  </si>
  <si>
    <t>MW Raw Data Integrity</t>
  </si>
  <si>
    <t>Model Beta (FactSet Adj 5Y)</t>
  </si>
  <si>
    <t>MCO Raw 5Y</t>
  </si>
  <si>
    <t>Model WACC</t>
  </si>
  <si>
    <t>Implied Price (base)</t>
  </si>
  <si>
    <t>IMPLIED EXIT MULTIPLE CHECK</t>
  </si>
  <si>
    <t>At model WACC</t>
  </si>
  <si>
    <t>x EV/EBITDA</t>
  </si>
  <si>
    <t>At peer median WACC</t>
  </si>
  <si>
    <t>MCO 5Y avg forward EV/EBITDA</t>
  </si>
  <si>
    <t>20-25x</t>
  </si>
  <si>
    <t>(reference range)</t>
  </si>
  <si>
    <t>TERMINAL VALUE DEPENDENCY</t>
  </si>
  <si>
    <t>(target: 50-75%)</t>
  </si>
  <si>
    <t>Note</t>
  </si>
  <si>
    <t>High-moat compounding model; terminal assumptions are key value drivers.</t>
  </si>
  <si>
    <t>TV/EV at WACC +50bp</t>
  </si>
  <si>
    <t>TV/EV at WACC -50bp</t>
  </si>
  <si>
    <t>NWC CONSISTENCY CHECK</t>
  </si>
  <si>
    <t>FCFF ΔNWC line (10_CapAlloc row 10)</t>
  </si>
  <si>
    <t>BS-implied ΔNWC (should match)</t>
  </si>
  <si>
    <t>Difference (should = 0)</t>
  </si>
  <si>
    <t>Debt Maturity Schedule</t>
  </si>
  <si>
    <t>Source: MCO Q3 2025 10-Q, FactSet DCS</t>
  </si>
  <si>
    <t>Note / Bond</t>
  </si>
  <si>
    <t>Maturity</t>
  </si>
  <si>
    <t>Face ($M)</t>
  </si>
  <si>
    <t>Coupon</t>
  </si>
  <si>
    <t>EUR Notes (€500M)</t>
  </si>
  <si>
    <t>Mar 2027</t>
  </si>
  <si>
    <t>1.75%</t>
  </si>
  <si>
    <t>USD Notes</t>
  </si>
  <si>
    <t>Jan 2028</t>
  </si>
  <si>
    <t>3.25%</t>
  </si>
  <si>
    <t>Feb 2029</t>
  </si>
  <si>
    <t>4.25%</t>
  </si>
  <si>
    <t>EUR Notes (€750M)</t>
  </si>
  <si>
    <t>Feb 2030</t>
  </si>
  <si>
    <t>0.95%</t>
  </si>
  <si>
    <t>Aug 2031</t>
  </si>
  <si>
    <t>2.00%</t>
  </si>
  <si>
    <t>Aug 2032</t>
  </si>
  <si>
    <t>Aug 2034</t>
  </si>
  <si>
    <t>5.00%</t>
  </si>
  <si>
    <t>2041</t>
  </si>
  <si>
    <t>4.875%</t>
  </si>
  <si>
    <t>2044</t>
  </si>
  <si>
    <t>5.25%</t>
  </si>
  <si>
    <t>2050</t>
  </si>
  <si>
    <t>3.75%</t>
  </si>
  <si>
    <t>2052</t>
  </si>
  <si>
    <t>3.10%</t>
  </si>
  <si>
    <t>2060</t>
  </si>
  <si>
    <t>2061</t>
  </si>
  <si>
    <t>2.55%</t>
  </si>
  <si>
    <t>Total Face Value</t>
  </si>
  <si>
    <t>Fair Value / Issuance Adjustments</t>
  </si>
  <si>
    <t>Net LT Debt (BS)</t>
  </si>
  <si>
    <t>Revolving Credit Facility</t>
  </si>
  <si>
    <t>May 2029</t>
  </si>
  <si>
    <t>Undrawn</t>
  </si>
  <si>
    <t>S&amp;P Rating: A- Stable</t>
  </si>
  <si>
    <t>Deferred Revenue Schedule</t>
  </si>
  <si>
    <t>Source: MCO 10-K, FactSet. Linked to MA Revenue (03_Drivers).</t>
  </si>
  <si>
    <t>Note: Models total deferred revenue (current + non-current combined). Current/LT split shown for reference only (96.2%/3.8%).</t>
  </si>
  <si>
    <t>Deferred Rev as % of MA Rev</t>
  </si>
  <si>
    <t xml:space="preserve">  Current Deferred Revenue</t>
  </si>
  <si>
    <t xml:space="preserve">  Non-Current Deferred Revenue</t>
  </si>
  <si>
    <t>Δ Deferred Revenue (YoY)</t>
  </si>
  <si>
    <t>Check: DeferredRev / MA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</si>
</sst>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\$#,##0"/>
    <numFmt numFmtId="165" formatCode="0.0%"/>
    <numFmt numFmtId="166" formatCode="0.0\x"/>
    <numFmt numFmtId="167" formatCode="\$#,##0.00"/>
    <numFmt numFmtId="168" formatCode="#,##0.0"/>
    <numFmt numFmtId="169" formatCode="0.000"/>
    <numFmt numFmtId="170" formatCode="0.00\x"/>
    <numFmt numFmtId="171" formatCode="#,##0;\(#,##0\);\-"/>
    <numFmt numFmtId="172" formatCode="0.0000"/>
    <numFmt numFmtId="173" formatCode="0.0"/>
    <numFmt numFmtId="174" formatCode="\+0.0%;\-0.0%"/>
  </numFmts>
  <fonts count="36" x14ac:knownFonts="1">
    <font>
      <sz val="11"/>
      <color theme="1"/>
      <name val="Calibri"/>
      <family val="2"/>
      <charset val="1"/>
    </font>
    <font>
      <b/>
      <sz val="16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rgb="FF555555"/>
      <name val="Arial"/>
      <family val="2"/>
    </font>
    <font>
      <b/>
      <sz val="10"/>
      <name val="Arial"/>
      <family val="2"/>
    </font>
    <font>
      <i/>
      <sz val="8"/>
      <color rgb="FF666666"/>
      <name val="Arial"/>
      <family val="2"/>
    </font>
    <font>
      <b/>
      <sz val="11"/>
      <name val="Cambria"/>
      <family val="1"/>
    </font>
    <font>
      <b/>
      <sz val="14"/>
      <name val="Arial"/>
      <family val="2"/>
    </font>
    <font>
      <i/>
      <sz val="10"/>
      <color rgb="FF666666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rgb="FF0000FF"/>
      <name val="Arial"/>
      <family val="2"/>
    </font>
    <font>
      <b/>
      <sz val="13"/>
      <color rgb="FF000000"/>
      <name val="Arial"/>
      <family val="2"/>
    </font>
    <font>
      <i/>
      <sz val="9"/>
      <color rgb="FF666666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808080"/>
      <name val="Arial"/>
      <family val="2"/>
    </font>
    <font>
      <i/>
      <sz val="9"/>
      <color rgb="FF000000"/>
      <name val="Arial"/>
      <family val="2"/>
    </font>
    <font>
      <i/>
      <sz val="9"/>
      <color rgb="FF808080"/>
      <name val="Arial"/>
      <family val="2"/>
    </font>
    <font>
      <sz val="10"/>
      <color rgb="FF008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i/>
      <sz val="10"/>
      <name val="Arial"/>
      <family val="2"/>
    </font>
    <font>
      <b/>
      <sz val="10"/>
      <color rgb="FF0000FF"/>
      <name val="Arial"/>
      <family val="2"/>
    </font>
    <font>
      <sz val="9"/>
      <color rgb="FF666666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color rgb="FF80808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4"/>
      <color rgb="FF0000FF"/>
      <name val="Arial"/>
      <family val="2"/>
    </font>
    <font>
      <b/>
      <sz val="10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C6EFCE"/>
      </patternFill>
    </fill>
    <fill>
      <patternFill patternType="solid">
        <fgColor rgb="FF1F4E79"/>
        <bgColor rgb="FF003366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0" fillId="0" borderId="0" xfId="0" applyNumberFormat="1"/>
    <xf numFmtId="0" fontId="5" fillId="0" borderId="0" xfId="0" applyFont="1"/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13" fillId="2" borderId="0" xfId="0" applyFont="1" applyFill="1"/>
    <xf numFmtId="0" fontId="5" fillId="0" borderId="0" xfId="0" applyFont="1" applyAlignment="1">
      <alignment horizontal="left" vertical="center"/>
    </xf>
    <xf numFmtId="3" fontId="14" fillId="0" borderId="0" xfId="0" applyNumberFormat="1" applyFont="1"/>
    <xf numFmtId="167" fontId="14" fillId="0" borderId="0" xfId="0" applyNumberFormat="1" applyFont="1"/>
    <xf numFmtId="168" fontId="14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8" fillId="0" borderId="0" xfId="0" applyFont="1"/>
    <xf numFmtId="0" fontId="17" fillId="0" borderId="0" xfId="0" applyFont="1"/>
    <xf numFmtId="3" fontId="17" fillId="0" borderId="1" xfId="0" applyNumberFormat="1" applyFont="1" applyBorder="1"/>
    <xf numFmtId="49" fontId="12" fillId="3" borderId="0" xfId="0" applyNumberFormat="1" applyFont="1" applyFill="1" applyAlignment="1">
      <alignment horizontal="center" vertical="center"/>
    </xf>
    <xf numFmtId="0" fontId="0" fillId="2" borderId="0" xfId="0" applyFill="1"/>
    <xf numFmtId="0" fontId="17" fillId="0" borderId="0" xfId="0" applyFont="1" applyAlignment="1">
      <alignment horizontal="left" vertical="center"/>
    </xf>
    <xf numFmtId="0" fontId="19" fillId="0" borderId="0" xfId="0" applyFont="1"/>
    <xf numFmtId="4" fontId="14" fillId="0" borderId="0" xfId="0" applyNumberFormat="1" applyFont="1"/>
    <xf numFmtId="0" fontId="20" fillId="0" borderId="0" xfId="0" applyFont="1"/>
    <xf numFmtId="4" fontId="19" fillId="0" borderId="0" xfId="0" applyNumberFormat="1" applyFont="1"/>
    <xf numFmtId="2" fontId="5" fillId="0" borderId="0" xfId="0" applyNumberFormat="1" applyFont="1"/>
    <xf numFmtId="0" fontId="21" fillId="0" borderId="0" xfId="0" applyFont="1"/>
    <xf numFmtId="4" fontId="5" fillId="0" borderId="0" xfId="0" applyNumberFormat="1" applyFont="1"/>
    <xf numFmtId="169" fontId="5" fillId="0" borderId="0" xfId="0" applyNumberFormat="1" applyFont="1"/>
    <xf numFmtId="0" fontId="17" fillId="2" borderId="0" xfId="0" applyFont="1" applyFill="1"/>
    <xf numFmtId="165" fontId="5" fillId="0" borderId="0" xfId="0" applyNumberFormat="1" applyFont="1"/>
    <xf numFmtId="165" fontId="22" fillId="0" borderId="0" xfId="0" applyNumberFormat="1" applyFont="1"/>
    <xf numFmtId="166" fontId="22" fillId="0" borderId="0" xfId="0" applyNumberFormat="1" applyFont="1"/>
    <xf numFmtId="170" fontId="22" fillId="0" borderId="0" xfId="0" applyNumberFormat="1" applyFont="1"/>
    <xf numFmtId="164" fontId="22" fillId="0" borderId="0" xfId="0" applyNumberFormat="1" applyFont="1"/>
    <xf numFmtId="0" fontId="23" fillId="0" borderId="0" xfId="0" applyFont="1"/>
    <xf numFmtId="0" fontId="24" fillId="0" borderId="0" xfId="0" applyFont="1"/>
    <xf numFmtId="1" fontId="25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22" fillId="0" borderId="0" xfId="0" applyNumberFormat="1" applyFont="1"/>
    <xf numFmtId="171" fontId="5" fillId="0" borderId="0" xfId="0" applyNumberFormat="1" applyFont="1"/>
    <xf numFmtId="0" fontId="8" fillId="0" borderId="0" xfId="0" applyFont="1"/>
    <xf numFmtId="3" fontId="17" fillId="0" borderId="2" xfId="0" applyNumberFormat="1" applyFont="1" applyBorder="1"/>
    <xf numFmtId="0" fontId="26" fillId="0" borderId="0" xfId="0" applyFont="1"/>
    <xf numFmtId="171" fontId="14" fillId="0" borderId="0" xfId="0" applyNumberFormat="1" applyFont="1"/>
    <xf numFmtId="171" fontId="22" fillId="0" borderId="0" xfId="0" applyNumberFormat="1" applyFont="1"/>
    <xf numFmtId="3" fontId="27" fillId="0" borderId="1" xfId="0" applyNumberFormat="1" applyFont="1" applyBorder="1"/>
    <xf numFmtId="3" fontId="7" fillId="0" borderId="1" xfId="0" applyNumberFormat="1" applyFont="1" applyBorder="1"/>
    <xf numFmtId="170" fontId="5" fillId="0" borderId="0" xfId="0" applyNumberFormat="1" applyFont="1"/>
    <xf numFmtId="171" fontId="28" fillId="0" borderId="0" xfId="0" applyNumberFormat="1" applyFont="1"/>
    <xf numFmtId="170" fontId="29" fillId="0" borderId="0" xfId="0" applyNumberFormat="1" applyFont="1"/>
    <xf numFmtId="171" fontId="17" fillId="0" borderId="1" xfId="0" applyNumberFormat="1" applyFont="1" applyBorder="1"/>
    <xf numFmtId="171" fontId="17" fillId="0" borderId="0" xfId="0" applyNumberFormat="1" applyFont="1"/>
    <xf numFmtId="3" fontId="25" fillId="0" borderId="1" xfId="0" applyNumberFormat="1" applyFont="1" applyBorder="1"/>
    <xf numFmtId="3" fontId="24" fillId="0" borderId="1" xfId="0" applyNumberFormat="1" applyFont="1" applyBorder="1"/>
    <xf numFmtId="3" fontId="23" fillId="0" borderId="0" xfId="0" applyNumberFormat="1" applyFont="1"/>
    <xf numFmtId="3" fontId="30" fillId="0" borderId="0" xfId="0" applyNumberFormat="1" applyFont="1"/>
    <xf numFmtId="3" fontId="8" fillId="0" borderId="0" xfId="0" applyNumberFormat="1" applyFont="1"/>
    <xf numFmtId="3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3" fontId="17" fillId="0" borderId="0" xfId="0" applyNumberFormat="1" applyFont="1"/>
    <xf numFmtId="172" fontId="5" fillId="0" borderId="0" xfId="0" applyNumberFormat="1" applyFont="1"/>
    <xf numFmtId="173" fontId="22" fillId="0" borderId="0" xfId="0" applyNumberFormat="1" applyFont="1"/>
    <xf numFmtId="164" fontId="17" fillId="0" borderId="0" xfId="0" applyNumberFormat="1" applyFont="1"/>
    <xf numFmtId="164" fontId="5" fillId="0" borderId="0" xfId="0" applyNumberFormat="1" applyFont="1"/>
    <xf numFmtId="3" fontId="0" fillId="0" borderId="0" xfId="0" applyNumberFormat="1"/>
    <xf numFmtId="166" fontId="0" fillId="0" borderId="0" xfId="0" applyNumberFormat="1"/>
    <xf numFmtId="166" fontId="8" fillId="0" borderId="0" xfId="0" applyNumberFormat="1" applyFont="1"/>
    <xf numFmtId="2" fontId="14" fillId="0" borderId="0" xfId="0" applyNumberFormat="1" applyFont="1"/>
    <xf numFmtId="0" fontId="7" fillId="2" borderId="0" xfId="0" applyFont="1" applyFill="1" applyAlignment="1">
      <alignment horizontal="left" vertical="center"/>
    </xf>
    <xf numFmtId="0" fontId="31" fillId="0" borderId="0" xfId="0" applyFont="1"/>
    <xf numFmtId="2" fontId="22" fillId="0" borderId="0" xfId="0" applyNumberFormat="1" applyFont="1"/>
    <xf numFmtId="2" fontId="17" fillId="0" borderId="0" xfId="0" applyNumberFormat="1" applyFont="1"/>
    <xf numFmtId="2" fontId="32" fillId="0" borderId="0" xfId="0" applyNumberFormat="1" applyFont="1"/>
    <xf numFmtId="2" fontId="20" fillId="0" borderId="0" xfId="0" applyNumberFormat="1" applyFont="1"/>
    <xf numFmtId="2" fontId="17" fillId="4" borderId="0" xfId="0" applyNumberFormat="1" applyFont="1" applyFill="1"/>
    <xf numFmtId="0" fontId="33" fillId="0" borderId="0" xfId="0" applyFont="1"/>
    <xf numFmtId="2" fontId="0" fillId="0" borderId="0" xfId="0" applyNumberFormat="1"/>
    <xf numFmtId="165" fontId="0" fillId="0" borderId="0" xfId="0" applyNumberFormat="1"/>
    <xf numFmtId="3" fontId="14" fillId="0" borderId="1" xfId="0" applyNumberFormat="1" applyFont="1" applyBorder="1"/>
    <xf numFmtId="3" fontId="5" fillId="0" borderId="1" xfId="0" applyNumberFormat="1" applyFont="1" applyBorder="1"/>
    <xf numFmtId="167" fontId="24" fillId="0" borderId="0" xfId="0" applyNumberFormat="1" applyFont="1"/>
    <xf numFmtId="168" fontId="5" fillId="0" borderId="0" xfId="0" applyNumberFormat="1" applyFont="1"/>
    <xf numFmtId="4" fontId="24" fillId="0" borderId="0" xfId="0" applyNumberFormat="1" applyFont="1"/>
    <xf numFmtId="168" fontId="14" fillId="0" borderId="1" xfId="0" applyNumberFormat="1" applyFont="1" applyBorder="1"/>
    <xf numFmtId="168" fontId="5" fillId="0" borderId="1" xfId="0" applyNumberFormat="1" applyFont="1" applyBorder="1"/>
    <xf numFmtId="170" fontId="17" fillId="0" borderId="0" xfId="0" applyNumberFormat="1" applyFont="1"/>
    <xf numFmtId="173" fontId="5" fillId="0" borderId="0" xfId="0" applyNumberFormat="1" applyFont="1"/>
    <xf numFmtId="167" fontId="17" fillId="0" borderId="0" xfId="0" applyNumberFormat="1" applyFont="1"/>
    <xf numFmtId="4" fontId="25" fillId="0" borderId="0" xfId="0" applyNumberFormat="1" applyFont="1"/>
    <xf numFmtId="167" fontId="5" fillId="0" borderId="0" xfId="0" applyNumberFormat="1" applyFont="1"/>
    <xf numFmtId="0" fontId="4" fillId="4" borderId="0" xfId="0" applyFont="1" applyFill="1"/>
    <xf numFmtId="1" fontId="34" fillId="4" borderId="0" xfId="0" applyNumberFormat="1" applyFont="1" applyFill="1"/>
    <xf numFmtId="1" fontId="14" fillId="0" borderId="0" xfId="0" applyNumberFormat="1" applyFont="1"/>
    <xf numFmtId="1" fontId="5" fillId="0" borderId="0" xfId="0" applyNumberFormat="1" applyFont="1"/>
    <xf numFmtId="166" fontId="5" fillId="0" borderId="0" xfId="0" applyNumberFormat="1" applyFont="1"/>
    <xf numFmtId="170" fontId="14" fillId="0" borderId="0" xfId="0" applyNumberFormat="1" applyFont="1"/>
    <xf numFmtId="167" fontId="22" fillId="0" borderId="0" xfId="0" applyNumberFormat="1" applyFont="1"/>
    <xf numFmtId="0" fontId="22" fillId="0" borderId="0" xfId="0" applyFont="1"/>
    <xf numFmtId="165" fontId="35" fillId="0" borderId="0" xfId="0" applyNumberFormat="1" applyFont="1"/>
    <xf numFmtId="174" fontId="0" fillId="0" borderId="0" xfId="0" applyNumberFormat="1"/>
    <xf numFmtId="171" fontId="0" fillId="0" borderId="0" xfId="0" applyNumberFormat="1"/>
    <xf numFmtId="0" fontId="14" fillId="0" borderId="0" xfId="0" applyFont="1"/>
    <xf numFmtId="0" fontId="35" fillId="0" borderId="0" xfId="0" applyFont="1"/>
    <xf numFmtId="165" fontId="28" fillId="0" borderId="0" xfId="0" applyNumberFormat="1" applyFont="1"/>
  </cellXfs>
  <cellStyles count="1">
    <cellStyle name="Normal" xfId="0" builtinId="0"/>
  </cellStyles>
  <dxfs count="11"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66"/>
      <rgbColor rgb="FFA5A5A5"/>
      <rgbColor rgb="FF003366"/>
      <rgbColor rgb="FF70AD47"/>
      <rgbColor rgb="FF006100"/>
      <rgbColor rgb="FF333300"/>
      <rgbColor rgb="FF993300"/>
      <rgbColor rgb="FF993366"/>
      <rgbColor rgb="FF1F4E7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A5A5"/>
  </sheetPr>
  <dimension ref="A1:C52"/>
  <sheetViews>
    <sheetView tabSelected="1" zoomScaleNormal="100" workbookViewId="0"/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2" ht="17.25" customHeight="1" x14ac:dyDescent="0.2">
      <c r="A1" s="1" t="s">
        <v>0</v>
      </c>
    </row>
    <row r="2" spans="1:2" ht="15" customHeight="1" x14ac:dyDescent="0.2">
      <c r="A2" s="2" t="s">
        <v>1</v>
      </c>
    </row>
    <row r="3" spans="1:2" ht="15" customHeight="1" x14ac:dyDescent="0.2">
      <c r="A3" s="3" t="s">
        <v>2</v>
      </c>
    </row>
    <row r="5" spans="1:2" ht="15" customHeight="1" x14ac:dyDescent="0.2">
      <c r="A5" s="4" t="s">
        <v>3</v>
      </c>
    </row>
    <row r="6" spans="1:2" ht="15" customHeight="1" x14ac:dyDescent="0.2">
      <c r="A6" t="s">
        <v>4</v>
      </c>
      <c r="B6" s="5">
        <f>'08_DFCF'!B35</f>
        <v>366.02891528096467</v>
      </c>
    </row>
    <row r="7" spans="1:2" ht="15" customHeight="1" x14ac:dyDescent="0.2">
      <c r="A7" s="6" t="s">
        <v>5</v>
      </c>
      <c r="B7" s="7">
        <f>'09_WACC'!B15</f>
        <v>8.6480000000000001E-2</v>
      </c>
    </row>
    <row r="8" spans="1:2" ht="15" customHeight="1" x14ac:dyDescent="0.2">
      <c r="A8" s="6" t="s">
        <v>6</v>
      </c>
      <c r="B8" s="7">
        <f>'03_Drivers'!$D$40</f>
        <v>2.5000000000000001E-2</v>
      </c>
    </row>
    <row r="9" spans="1:2" ht="15" customHeight="1" x14ac:dyDescent="0.2">
      <c r="A9" s="6" t="s">
        <v>7</v>
      </c>
      <c r="B9" s="7">
        <f>'08_DFCF'!B37</f>
        <v>0.62229912242784646</v>
      </c>
    </row>
    <row r="10" spans="1:2" ht="15" customHeight="1" x14ac:dyDescent="0.2">
      <c r="A10" s="6" t="s">
        <v>8</v>
      </c>
      <c r="B10" s="8">
        <f>'08_DFCF'!B55</f>
        <v>13.155370001868294</v>
      </c>
    </row>
    <row r="11" spans="1:2" ht="15" customHeight="1" x14ac:dyDescent="0.2">
      <c r="A11" s="6" t="s">
        <v>9</v>
      </c>
      <c r="B11" s="9">
        <v>1441</v>
      </c>
    </row>
    <row r="12" spans="1:2" ht="15" customHeight="1" x14ac:dyDescent="0.2">
      <c r="A12" s="6" t="s">
        <v>10</v>
      </c>
      <c r="B12" s="9">
        <v>15</v>
      </c>
    </row>
    <row r="13" spans="1:2" ht="15" customHeight="1" x14ac:dyDescent="0.2">
      <c r="A13" s="6"/>
      <c r="B13" s="9"/>
    </row>
    <row r="14" spans="1:2" ht="15" customHeight="1" x14ac:dyDescent="0.2">
      <c r="A14" s="10" t="s">
        <v>11</v>
      </c>
      <c r="B14" s="9"/>
    </row>
    <row r="15" spans="1:2" ht="15" customHeight="1" x14ac:dyDescent="0.2">
      <c r="A15" s="6" t="s">
        <v>12</v>
      </c>
      <c r="B15" s="9" t="s">
        <v>13</v>
      </c>
    </row>
    <row r="16" spans="1:2" ht="15" customHeight="1" x14ac:dyDescent="0.2">
      <c r="A16" s="6" t="s">
        <v>14</v>
      </c>
      <c r="B16" s="9" t="s">
        <v>15</v>
      </c>
    </row>
    <row r="17" spans="1:2" ht="15" customHeight="1" x14ac:dyDescent="0.2">
      <c r="A17" s="6" t="s">
        <v>16</v>
      </c>
      <c r="B17" s="9" t="s">
        <v>17</v>
      </c>
    </row>
    <row r="18" spans="1:2" ht="15" customHeight="1" x14ac:dyDescent="0.2">
      <c r="A18" s="6"/>
      <c r="B18" s="9"/>
    </row>
    <row r="19" spans="1:2" ht="15" customHeight="1" x14ac:dyDescent="0.2">
      <c r="A19" s="10" t="s">
        <v>18</v>
      </c>
      <c r="B19" s="9"/>
    </row>
    <row r="20" spans="1:2" ht="15" customHeight="1" x14ac:dyDescent="0.2">
      <c r="A20" s="11" t="s">
        <v>19</v>
      </c>
      <c r="B20" s="9" t="s">
        <v>20</v>
      </c>
    </row>
    <row r="21" spans="1:2" ht="15" customHeight="1" x14ac:dyDescent="0.2">
      <c r="A21" s="11" t="s">
        <v>21</v>
      </c>
      <c r="B21" s="9" t="s">
        <v>22</v>
      </c>
    </row>
    <row r="22" spans="1:2" ht="15" customHeight="1" x14ac:dyDescent="0.2">
      <c r="A22" s="11" t="s">
        <v>23</v>
      </c>
      <c r="B22" t="s">
        <v>24</v>
      </c>
    </row>
    <row r="23" spans="1:2" ht="15" customHeight="1" x14ac:dyDescent="0.2">
      <c r="A23" s="11" t="s">
        <v>25</v>
      </c>
      <c r="B23" t="s">
        <v>26</v>
      </c>
    </row>
    <row r="24" spans="1:2" ht="15" customHeight="1" x14ac:dyDescent="0.2">
      <c r="A24" s="12" t="s">
        <v>27</v>
      </c>
      <c r="B24" t="s">
        <v>28</v>
      </c>
    </row>
    <row r="25" spans="1:2" ht="15" customHeight="1" x14ac:dyDescent="0.2">
      <c r="A25" s="11" t="s">
        <v>29</v>
      </c>
      <c r="B25" t="s">
        <v>30</v>
      </c>
    </row>
    <row r="26" spans="1:2" ht="15" customHeight="1" x14ac:dyDescent="0.2">
      <c r="A26" s="11" t="s">
        <v>31</v>
      </c>
      <c r="B26" t="s">
        <v>32</v>
      </c>
    </row>
    <row r="27" spans="1:2" ht="15" customHeight="1" x14ac:dyDescent="0.2">
      <c r="A27" s="11" t="s">
        <v>33</v>
      </c>
      <c r="B27" t="s">
        <v>34</v>
      </c>
    </row>
    <row r="28" spans="1:2" ht="15" customHeight="1" x14ac:dyDescent="0.2">
      <c r="A28" s="11" t="s">
        <v>35</v>
      </c>
      <c r="B28" t="s">
        <v>36</v>
      </c>
    </row>
    <row r="29" spans="1:2" ht="15" customHeight="1" x14ac:dyDescent="0.2">
      <c r="A29" s="11" t="s">
        <v>37</v>
      </c>
      <c r="B29" t="s">
        <v>38</v>
      </c>
    </row>
    <row r="30" spans="1:2" ht="15" customHeight="1" x14ac:dyDescent="0.2">
      <c r="A30" s="11" t="s">
        <v>39</v>
      </c>
      <c r="B30" t="s">
        <v>40</v>
      </c>
    </row>
    <row r="31" spans="1:2" ht="15" customHeight="1" x14ac:dyDescent="0.2">
      <c r="A31" s="11" t="s">
        <v>41</v>
      </c>
      <c r="B31" t="s">
        <v>42</v>
      </c>
    </row>
    <row r="32" spans="1:2" ht="15" customHeight="1" x14ac:dyDescent="0.2">
      <c r="A32" s="11" t="s">
        <v>43</v>
      </c>
      <c r="B32" t="s">
        <v>44</v>
      </c>
    </row>
    <row r="33" spans="1:2" ht="81.75" customHeight="1" x14ac:dyDescent="0.2">
      <c r="A33" s="13" t="s">
        <v>45</v>
      </c>
      <c r="B33" t="s">
        <v>46</v>
      </c>
    </row>
    <row r="34" spans="1:2" ht="15" customHeight="1" x14ac:dyDescent="0.2">
      <c r="A34" s="13" t="s">
        <v>47</v>
      </c>
      <c r="B34" t="s">
        <v>48</v>
      </c>
    </row>
    <row r="35" spans="1:2" ht="15" customHeight="1" x14ac:dyDescent="0.2">
      <c r="A35" s="14"/>
    </row>
    <row r="36" spans="1:2" ht="15" customHeight="1" x14ac:dyDescent="0.2">
      <c r="A36" s="15" t="s">
        <v>49</v>
      </c>
    </row>
    <row r="37" spans="1:2" ht="15" customHeight="1" x14ac:dyDescent="0.2">
      <c r="A37" t="s">
        <v>50</v>
      </c>
    </row>
    <row r="38" spans="1:2" ht="15" customHeight="1" x14ac:dyDescent="0.2">
      <c r="A38" s="16" t="s">
        <v>51</v>
      </c>
    </row>
    <row r="39" spans="1:2" ht="15" customHeight="1" x14ac:dyDescent="0.2">
      <c r="A39" t="s">
        <v>52</v>
      </c>
    </row>
    <row r="40" spans="1:2" ht="15" customHeight="1" x14ac:dyDescent="0.2">
      <c r="A40" t="s">
        <v>53</v>
      </c>
    </row>
    <row r="41" spans="1:2" ht="15" customHeight="1" x14ac:dyDescent="0.2">
      <c r="A41" t="s">
        <v>54</v>
      </c>
    </row>
    <row r="42" spans="1:2" ht="15" customHeight="1" x14ac:dyDescent="0.2">
      <c r="A42" t="s">
        <v>55</v>
      </c>
    </row>
    <row r="43" spans="1:2" ht="15" customHeight="1" x14ac:dyDescent="0.2">
      <c r="A43" t="s">
        <v>56</v>
      </c>
    </row>
    <row r="44" spans="1:2" ht="15" customHeight="1" x14ac:dyDescent="0.2">
      <c r="A44" t="s">
        <v>57</v>
      </c>
    </row>
    <row r="46" spans="1:2" ht="15" customHeight="1" x14ac:dyDescent="0.2">
      <c r="A46" s="10" t="s">
        <v>58</v>
      </c>
    </row>
    <row r="47" spans="1:2" ht="15" customHeight="1" x14ac:dyDescent="0.2">
      <c r="A47" t="s">
        <v>59</v>
      </c>
      <c r="B47" t="str">
        <f>IF(AND('06_BS'!D35=0,'06_BS'!E35=0,'06_BS'!F35=0,'06_BS'!G35=0,'06_BS'!H35=0,'06_BS'!I35=0,'06_BS'!J35=0,'06_BS'!K35=0,'06_BS'!L35=0),"PASS","FAIL")</f>
        <v>PASS</v>
      </c>
    </row>
    <row r="48" spans="1:2" ht="15" customHeight="1" x14ac:dyDescent="0.2">
      <c r="A48" t="s">
        <v>60</v>
      </c>
      <c r="B48" t="str">
        <f>IF(AND('07_CashFlow'!D30=0,'07_CashFlow'!E30=0,'07_CashFlow'!F30=0,'07_CashFlow'!L30=0),"PASS","FAIL")</f>
        <v>PASS</v>
      </c>
    </row>
    <row r="49" spans="1:3" ht="15" customHeight="1" x14ac:dyDescent="0.2">
      <c r="A49" t="s">
        <v>61</v>
      </c>
      <c r="B49" t="str">
        <f>IF(AND('12_SanityChk'!B50=0,'12_SanityChk'!C50=0,'12_SanityChk'!D50=0,'12_SanityChk'!E50=0),"PASS","FAIL")</f>
        <v>PASS</v>
      </c>
    </row>
    <row r="50" spans="1:3" ht="15" customHeight="1" x14ac:dyDescent="0.2">
      <c r="A50" t="s">
        <v>62</v>
      </c>
      <c r="B50">
        <v>0</v>
      </c>
      <c r="C50" t="s">
        <v>63</v>
      </c>
    </row>
    <row r="51" spans="1:3" ht="15" customHeight="1" x14ac:dyDescent="0.2">
      <c r="A51" t="s">
        <v>64</v>
      </c>
      <c r="B51" t="s">
        <v>65</v>
      </c>
    </row>
    <row r="52" spans="1:3" ht="15" customHeight="1" x14ac:dyDescent="0.2">
      <c r="A52" t="s">
        <v>66</v>
      </c>
      <c r="B52" t="s">
        <v>67</v>
      </c>
      <c r="C52" t="s">
        <v>68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AD47"/>
  </sheetPr>
  <dimension ref="A1:F45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3" ht="17.25" customHeight="1" x14ac:dyDescent="0.2">
      <c r="A1" s="17" t="s">
        <v>309</v>
      </c>
    </row>
    <row r="3" spans="1:3" ht="15" customHeight="1" x14ac:dyDescent="0.2">
      <c r="A3" s="20" t="s">
        <v>310</v>
      </c>
    </row>
    <row r="4" spans="1:3" ht="15" customHeight="1" x14ac:dyDescent="0.2">
      <c r="A4" s="21" t="s">
        <v>311</v>
      </c>
      <c r="B4" s="25">
        <v>4.2000000000000003E-2</v>
      </c>
      <c r="C4" s="18" t="s">
        <v>312</v>
      </c>
    </row>
    <row r="5" spans="1:3" ht="15" customHeight="1" x14ac:dyDescent="0.2">
      <c r="A5" s="21" t="s">
        <v>313</v>
      </c>
      <c r="B5" s="25">
        <v>5.5E-2</v>
      </c>
      <c r="C5" s="18" t="s">
        <v>312</v>
      </c>
    </row>
    <row r="6" spans="1:3" ht="15" customHeight="1" x14ac:dyDescent="0.2">
      <c r="A6" s="21" t="s">
        <v>314</v>
      </c>
      <c r="B6" s="86">
        <v>1.06</v>
      </c>
      <c r="C6" s="18" t="s">
        <v>315</v>
      </c>
    </row>
    <row r="7" spans="1:3" ht="15" customHeight="1" x14ac:dyDescent="0.2">
      <c r="A7" s="21" t="s">
        <v>316</v>
      </c>
      <c r="B7" s="25">
        <v>0</v>
      </c>
      <c r="C7" s="18"/>
    </row>
    <row r="8" spans="1:3" ht="15" customHeight="1" x14ac:dyDescent="0.2">
      <c r="A8" s="21" t="s">
        <v>317</v>
      </c>
      <c r="B8" s="45">
        <f>B4+B6*B5+B7</f>
        <v>0.1003</v>
      </c>
    </row>
    <row r="10" spans="1:3" ht="15" customHeight="1" x14ac:dyDescent="0.2">
      <c r="A10" s="20" t="s">
        <v>318</v>
      </c>
    </row>
    <row r="11" spans="1:3" ht="15" customHeight="1" x14ac:dyDescent="0.2">
      <c r="A11" s="21" t="s">
        <v>319</v>
      </c>
      <c r="B11" s="25">
        <v>0.04</v>
      </c>
    </row>
    <row r="12" spans="1:3" ht="15" customHeight="1" x14ac:dyDescent="0.2">
      <c r="A12" s="21" t="s">
        <v>320</v>
      </c>
      <c r="B12" s="46">
        <f>'03_Drivers'!$D$32</f>
        <v>0.22</v>
      </c>
    </row>
    <row r="13" spans="1:3" ht="15" customHeight="1" x14ac:dyDescent="0.2">
      <c r="A13" s="21" t="s">
        <v>321</v>
      </c>
      <c r="B13" s="45">
        <f>B11*(1-B12)</f>
        <v>3.1200000000000002E-2</v>
      </c>
    </row>
    <row r="15" spans="1:3" ht="15" customHeight="1" x14ac:dyDescent="0.2">
      <c r="A15" s="87" t="s">
        <v>5</v>
      </c>
      <c r="B15" s="45">
        <f>B16*B8+B17*B13</f>
        <v>8.6480000000000001E-2</v>
      </c>
    </row>
    <row r="16" spans="1:3" ht="15" customHeight="1" x14ac:dyDescent="0.2">
      <c r="A16" s="21" t="s">
        <v>322</v>
      </c>
      <c r="B16" s="25">
        <v>0.8</v>
      </c>
    </row>
    <row r="17" spans="1:6" ht="15" customHeight="1" x14ac:dyDescent="0.2">
      <c r="A17" s="21" t="s">
        <v>323</v>
      </c>
      <c r="B17" s="45">
        <f>1-B16</f>
        <v>0.19999999999999996</v>
      </c>
    </row>
    <row r="19" spans="1:6" ht="15" customHeight="1" x14ac:dyDescent="0.2">
      <c r="A19" s="31" t="s">
        <v>324</v>
      </c>
    </row>
    <row r="20" spans="1:6" ht="15" customHeight="1" x14ac:dyDescent="0.2">
      <c r="A20" s="6" t="s">
        <v>325</v>
      </c>
      <c r="B20" s="31" t="s">
        <v>326</v>
      </c>
      <c r="C20" s="31"/>
    </row>
    <row r="21" spans="1:6" ht="15" customHeight="1" x14ac:dyDescent="0.2">
      <c r="A21" s="6" t="s">
        <v>327</v>
      </c>
      <c r="B21" s="86">
        <v>0.88</v>
      </c>
      <c r="C21" s="88" t="s">
        <v>328</v>
      </c>
    </row>
    <row r="22" spans="1:6" ht="15" customHeight="1" x14ac:dyDescent="0.2">
      <c r="A22" s="6" t="s">
        <v>329</v>
      </c>
      <c r="B22" s="86">
        <v>1.0900000000000001</v>
      </c>
      <c r="C22" s="88" t="s">
        <v>330</v>
      </c>
    </row>
    <row r="23" spans="1:6" ht="15" customHeight="1" x14ac:dyDescent="0.2">
      <c r="A23" s="6" t="s">
        <v>331</v>
      </c>
      <c r="B23" s="86">
        <v>1.08</v>
      </c>
      <c r="C23" s="88" t="s">
        <v>312</v>
      </c>
    </row>
    <row r="24" spans="1:6" ht="15" customHeight="1" x14ac:dyDescent="0.2">
      <c r="A24" s="6" t="s">
        <v>332</v>
      </c>
      <c r="B24" s="86">
        <v>1.01</v>
      </c>
      <c r="C24" s="88" t="s">
        <v>312</v>
      </c>
    </row>
    <row r="25" spans="1:6" ht="15" customHeight="1" x14ac:dyDescent="0.2">
      <c r="A25" s="6" t="s">
        <v>333</v>
      </c>
      <c r="B25" s="89">
        <f>B6</f>
        <v>1.06</v>
      </c>
      <c r="C25" s="88"/>
    </row>
    <row r="26" spans="1:6" ht="15" customHeight="1" x14ac:dyDescent="0.2">
      <c r="A26" s="6"/>
      <c r="B26" s="40"/>
    </row>
    <row r="27" spans="1:6" ht="15" customHeight="1" x14ac:dyDescent="0.2">
      <c r="A27" s="6" t="s">
        <v>334</v>
      </c>
      <c r="B27" s="40">
        <v>0.88</v>
      </c>
    </row>
    <row r="28" spans="1:6" ht="15" customHeight="1" x14ac:dyDescent="0.2">
      <c r="A28" s="6" t="s">
        <v>335</v>
      </c>
      <c r="B28" s="40">
        <v>0.51</v>
      </c>
      <c r="C28" t="s">
        <v>312</v>
      </c>
    </row>
    <row r="29" spans="1:6" ht="15" customHeight="1" x14ac:dyDescent="0.2">
      <c r="B29" s="86"/>
      <c r="C29" s="86"/>
      <c r="D29" s="86"/>
      <c r="E29" s="86"/>
      <c r="F29" s="86"/>
    </row>
    <row r="30" spans="1:6" ht="15" customHeight="1" x14ac:dyDescent="0.2">
      <c r="A30" s="31" t="s">
        <v>336</v>
      </c>
      <c r="B30" s="45"/>
      <c r="C30" s="45"/>
      <c r="D30" s="45"/>
      <c r="E30" s="45"/>
      <c r="F30" s="45"/>
    </row>
    <row r="31" spans="1:6" ht="15" customHeight="1" x14ac:dyDescent="0.2">
      <c r="A31" s="6" t="s">
        <v>326</v>
      </c>
      <c r="B31" s="86">
        <v>0.8</v>
      </c>
      <c r="C31" s="86">
        <v>0.88</v>
      </c>
      <c r="D31" s="86">
        <v>1</v>
      </c>
      <c r="E31" s="86">
        <v>1.06</v>
      </c>
      <c r="F31" s="86">
        <v>1.2</v>
      </c>
    </row>
    <row r="32" spans="1:6" ht="15" customHeight="1" x14ac:dyDescent="0.2">
      <c r="A32" s="6" t="s">
        <v>337</v>
      </c>
      <c r="B32" s="45">
        <f>B4+B31*B5</f>
        <v>8.6000000000000007E-2</v>
      </c>
      <c r="C32" s="45">
        <f>B4+C31*B5</f>
        <v>9.0400000000000008E-2</v>
      </c>
      <c r="D32" s="45">
        <f>B4+D31*B5</f>
        <v>9.7000000000000003E-2</v>
      </c>
      <c r="E32" s="45">
        <f>B4+E31*B5</f>
        <v>0.1003</v>
      </c>
      <c r="F32" s="45">
        <f>B4+F31*B5</f>
        <v>0.10800000000000001</v>
      </c>
    </row>
    <row r="33" spans="1:6" ht="15" customHeight="1" x14ac:dyDescent="0.2">
      <c r="A33" s="40" t="s">
        <v>338</v>
      </c>
      <c r="B33" s="45">
        <f>B16*B32+(1-B16)*B13</f>
        <v>7.5040000000000009E-2</v>
      </c>
      <c r="C33" s="45">
        <f>B16*C32+(1-B16)*B13</f>
        <v>7.8560000000000005E-2</v>
      </c>
      <c r="D33" s="45">
        <f>B16*D32+(1-B16)*B13</f>
        <v>8.3839999999999998E-2</v>
      </c>
      <c r="E33" s="45">
        <f>B16*E32+(1-B16)*B13</f>
        <v>8.6480000000000001E-2</v>
      </c>
      <c r="F33" s="45">
        <f>B16*F32+(1-B16)*B13</f>
        <v>9.2640000000000014E-2</v>
      </c>
    </row>
    <row r="34" spans="1:6" ht="15" customHeight="1" x14ac:dyDescent="0.2">
      <c r="A34" s="90" t="s">
        <v>339</v>
      </c>
      <c r="B34" s="81">
        <f>ROUND(('08_DFCF'!D14/(1+B33)^0.5+'08_DFCF'!E14/(1+B33)^1.5+'08_DFCF'!F14/(1+B33)^2.5+'08_DFCF'!G14/(1+B33)^3.5+'08_DFCF'!H14/(1+B33)^4.5+'08_DFCF'!I14/(1+B33)^5.5+'08_DFCF'!J14/(1+B33)^6.5+'08_DFCF'!K14/(1+B33)^7.5+'08_DFCF'!L14/(1+B33)^8.5+'08_DFCF'!L14*(1+'03_Drivers'!$D$40)/(B33-'03_Drivers'!$D$40)/(1+B33)^8.5+'08_DFCF'!B32)/'08_DFCF'!B34,0)</f>
        <v>457</v>
      </c>
      <c r="C34" s="81">
        <f>ROUND(('08_DFCF'!D14/(1+C33)^0.5+'08_DFCF'!E14/(1+C33)^1.5+'08_DFCF'!F14/(1+C33)^2.5+'08_DFCF'!G14/(1+C33)^3.5+'08_DFCF'!H14/(1+C33)^4.5+'08_DFCF'!I14/(1+C33)^5.5+'08_DFCF'!J14/(1+C33)^6.5+'08_DFCF'!K14/(1+C33)^7.5+'08_DFCF'!L14/(1+C33)^8.5+'08_DFCF'!L14*(1+'03_Drivers'!$D$40)/(C33-'03_Drivers'!$D$40)/(1+C33)^8.5+'08_DFCF'!B32)/'08_DFCF'!B34,0)</f>
        <v>425</v>
      </c>
      <c r="D34" s="81">
        <f>ROUND(('08_DFCF'!D14/(1+D33)^0.5+'08_DFCF'!E14/(1+D33)^1.5+'08_DFCF'!F14/(1+D33)^2.5+'08_DFCF'!G14/(1+D33)^3.5+'08_DFCF'!H14/(1+D33)^4.5+'08_DFCF'!I14/(1+D33)^5.5+'08_DFCF'!J14/(1+D33)^6.5+'08_DFCF'!K14/(1+D33)^7.5+'08_DFCF'!L14/(1+D33)^8.5+'08_DFCF'!L14*(1+'03_Drivers'!$D$40)/(D33-'03_Drivers'!$D$40)/(1+D33)^8.5+'08_DFCF'!B32)/'08_DFCF'!B34,0)</f>
        <v>384</v>
      </c>
      <c r="E34" s="81">
        <f>ROUND(('08_DFCF'!D14/(1+E33)^0.5+'08_DFCF'!E14/(1+E33)^1.5+'08_DFCF'!F14/(1+E33)^2.5+'08_DFCF'!G14/(1+E33)^3.5+'08_DFCF'!H14/(1+E33)^4.5+'08_DFCF'!I14/(1+E33)^5.5+'08_DFCF'!J14/(1+E33)^6.5+'08_DFCF'!K14/(1+E33)^7.5+'08_DFCF'!L14/(1+E33)^8.5+'08_DFCF'!L14*(1+'03_Drivers'!$D$40)/(E33-'03_Drivers'!$D$40)/(1+E33)^8.5+'08_DFCF'!B32)/'08_DFCF'!B34,0)</f>
        <v>366</v>
      </c>
      <c r="F34" s="81">
        <f>ROUND(('08_DFCF'!D14/(1+F33)^0.5+'08_DFCF'!E14/(1+F33)^1.5+'08_DFCF'!F14/(1+F33)^2.5+'08_DFCF'!G14/(1+F33)^3.5+'08_DFCF'!H14/(1+F33)^4.5+'08_DFCF'!I14/(1+F33)^5.5+'08_DFCF'!J14/(1+F33)^6.5+'08_DFCF'!K14/(1+F33)^7.5+'08_DFCF'!L14/(1+F33)^8.5+'08_DFCF'!L14*(1+'03_Drivers'!$D$40)/(F33-'03_Drivers'!$D$40)/(1+F33)^8.5+'08_DFCF'!B32)/'08_DFCF'!B34,0)</f>
        <v>330</v>
      </c>
    </row>
    <row r="35" spans="1:6" ht="15" customHeight="1" x14ac:dyDescent="0.2">
      <c r="A35" s="91"/>
      <c r="B35" s="45"/>
      <c r="C35" s="45"/>
    </row>
    <row r="36" spans="1:6" ht="15" customHeight="1" x14ac:dyDescent="0.2">
      <c r="A36" s="92" t="s">
        <v>340</v>
      </c>
      <c r="B36" s="45"/>
      <c r="C36" s="45"/>
    </row>
    <row r="37" spans="1:6" ht="15" customHeight="1" x14ac:dyDescent="0.2">
      <c r="A37" s="92" t="s">
        <v>341</v>
      </c>
      <c r="B37" s="45"/>
      <c r="C37" s="45"/>
    </row>
    <row r="38" spans="1:6" ht="15" customHeight="1" x14ac:dyDescent="0.2">
      <c r="A38" s="93"/>
      <c r="B38" s="45"/>
      <c r="C38" s="45"/>
    </row>
    <row r="39" spans="1:6" ht="15" customHeight="1" x14ac:dyDescent="0.2">
      <c r="A39" s="50" t="s">
        <v>342</v>
      </c>
    </row>
    <row r="40" spans="1:6" ht="15" customHeight="1" x14ac:dyDescent="0.2">
      <c r="A40" s="94" t="s">
        <v>343</v>
      </c>
      <c r="B40" s="94" t="s">
        <v>326</v>
      </c>
      <c r="C40" s="94" t="s">
        <v>5</v>
      </c>
      <c r="D40" s="94" t="s">
        <v>344</v>
      </c>
      <c r="E40" s="94" t="s">
        <v>345</v>
      </c>
    </row>
    <row r="41" spans="1:6" ht="15" customHeight="1" x14ac:dyDescent="0.2">
      <c r="A41" s="51" t="s">
        <v>346</v>
      </c>
      <c r="B41" s="95">
        <f>B6</f>
        <v>1.06</v>
      </c>
      <c r="C41" s="96">
        <f>B15</f>
        <v>8.6480000000000001E-2</v>
      </c>
      <c r="D41" s="96">
        <f>'08_DFCF'!B35</f>
        <v>366.02891528096467</v>
      </c>
      <c r="E41" s="5">
        <f>'08_DFCF'!B35</f>
        <v>366.02891528096467</v>
      </c>
    </row>
    <row r="42" spans="1:6" ht="15" customHeight="1" x14ac:dyDescent="0.2">
      <c r="A42" s="51" t="s">
        <v>347</v>
      </c>
      <c r="B42" s="95">
        <v>0.88</v>
      </c>
      <c r="C42" s="96">
        <f>B16*(B4+B42*B5)+(1-B16)*B13</f>
        <v>7.8560000000000005E-2</v>
      </c>
      <c r="D42" s="96">
        <f>C42</f>
        <v>7.8560000000000005E-2</v>
      </c>
      <c r="E42" s="5">
        <f>ROUND(('08_DFCF'!D14/(1+C42)^0.5+'08_DFCF'!E14/(1+C42)^1.5+'08_DFCF'!F14/(1+C42)^2.5+'08_DFCF'!G14/(1+C42)^3.5+'08_DFCF'!H14/(1+C42)^4.5+'08_DFCF'!I14/(1+C42)^5.5+'08_DFCF'!J14/(1+C42)^6.5+'08_DFCF'!K14/(1+C42)^7.5+'08_DFCF'!L14/(1+C42)^8.5+'08_DFCF'!L14*(1+'03_Drivers'!$D$40)/(C42-'03_Drivers'!$D$40)/(1+C42)^8.5+'08_DFCF'!B32)/'08_DFCF'!B34,0)</f>
        <v>425</v>
      </c>
    </row>
    <row r="43" spans="1:6" ht="15" customHeight="1" x14ac:dyDescent="0.2">
      <c r="A43" s="51" t="s">
        <v>348</v>
      </c>
      <c r="B43" s="95">
        <v>1.0900000000000001</v>
      </c>
      <c r="C43" s="96">
        <f>B16*(B4+B43*B5)+(1-B16)*B13</f>
        <v>8.7800000000000017E-2</v>
      </c>
      <c r="D43" s="96">
        <f>C43</f>
        <v>8.7800000000000017E-2</v>
      </c>
      <c r="E43" s="5">
        <f>ROUND(('08_DFCF'!D14/(1+C43)^0.5+'08_DFCF'!E14/(1+C43)^1.5+'08_DFCF'!F14/(1+C43)^2.5+'08_DFCF'!G14/(1+C43)^3.5+'08_DFCF'!H14/(1+C43)^4.5+'08_DFCF'!I14/(1+C43)^5.5+'08_DFCF'!J14/(1+C43)^6.5+'08_DFCF'!K14/(1+C43)^7.5+'08_DFCF'!L14/(1+C43)^8.5+'08_DFCF'!L14*(1+'03_Drivers'!$D$40)/(C43-'03_Drivers'!$D$40)/(1+C43)^8.5+'08_DFCF'!B32)/'08_DFCF'!B34,0)</f>
        <v>358</v>
      </c>
    </row>
    <row r="45" spans="1:6" ht="15" customHeight="1" x14ac:dyDescent="0.2">
      <c r="A45" s="58" t="s">
        <v>349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DC3E6"/>
  </sheetPr>
  <dimension ref="A1:M4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27" t="s">
        <v>350</v>
      </c>
    </row>
    <row r="2" spans="1:12" ht="15" customHeight="1" x14ac:dyDescent="0.2">
      <c r="A2" s="28" t="s">
        <v>351</v>
      </c>
    </row>
    <row r="4" spans="1:12" ht="15" customHeight="1" x14ac:dyDescent="0.2">
      <c r="A4" s="29" t="s">
        <v>71</v>
      </c>
      <c r="B4" s="29" t="s">
        <v>72</v>
      </c>
      <c r="C4" s="29" t="s">
        <v>73</v>
      </c>
      <c r="D4" s="29" t="s">
        <v>160</v>
      </c>
      <c r="E4" s="29" t="s">
        <v>161</v>
      </c>
      <c r="F4" s="29" t="s">
        <v>162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  <c r="L4" s="29" t="s">
        <v>168</v>
      </c>
    </row>
    <row r="5" spans="1:12" ht="15" customHeight="1" x14ac:dyDescent="0.2">
      <c r="A5" s="30" t="s">
        <v>352</v>
      </c>
    </row>
    <row r="6" spans="1:12" ht="15" customHeight="1" x14ac:dyDescent="0.2">
      <c r="A6" t="s">
        <v>226</v>
      </c>
      <c r="B6" s="22">
        <v>1607</v>
      </c>
      <c r="C6" s="22">
        <v>2058</v>
      </c>
      <c r="D6" s="56">
        <f>'05_IncStmt'!D22</f>
        <v>2459.2587957599999</v>
      </c>
      <c r="E6" s="56">
        <f>'05_IncStmt'!E22</f>
        <v>2663.5750816072127</v>
      </c>
      <c r="F6" s="56">
        <f>'05_IncStmt'!F22</f>
        <v>2887.0981183017648</v>
      </c>
      <c r="G6" s="56">
        <f>'05_IncStmt'!G22</f>
        <v>3131.7570018296974</v>
      </c>
      <c r="H6" s="56">
        <f>'05_IncStmt'!H22</f>
        <v>3313.5026039992226</v>
      </c>
      <c r="I6" s="56">
        <f>'05_IncStmt'!I22</f>
        <v>3501.9018349009807</v>
      </c>
      <c r="J6" s="56">
        <f>'05_IncStmt'!J22</f>
        <v>3701.4334490478459</v>
      </c>
      <c r="K6" s="56">
        <f>'05_IncStmt'!K22</f>
        <v>3921.2929977834656</v>
      </c>
      <c r="L6" s="56">
        <f>'05_IncStmt'!L22</f>
        <v>4151.9953064145748</v>
      </c>
    </row>
    <row r="7" spans="1:12" ht="15" customHeight="1" x14ac:dyDescent="0.2">
      <c r="A7" t="s">
        <v>227</v>
      </c>
      <c r="B7" s="22">
        <v>373</v>
      </c>
      <c r="C7" s="22">
        <v>431</v>
      </c>
      <c r="D7" s="56">
        <f>'05_IncStmt'!D24</f>
        <v>462</v>
      </c>
      <c r="E7" s="56">
        <f>'05_IncStmt'!E24</f>
        <v>486</v>
      </c>
      <c r="F7" s="56">
        <f>'05_IncStmt'!F24</f>
        <v>511</v>
      </c>
      <c r="G7" s="56">
        <f>'05_IncStmt'!G24</f>
        <v>545</v>
      </c>
      <c r="H7" s="56">
        <f>'05_IncStmt'!H24</f>
        <v>567</v>
      </c>
      <c r="I7" s="56">
        <f>'05_IncStmt'!I24</f>
        <v>589</v>
      </c>
      <c r="J7" s="56">
        <f>'05_IncStmt'!J24</f>
        <v>612</v>
      </c>
      <c r="K7" s="56">
        <f>'05_IncStmt'!K24</f>
        <v>636</v>
      </c>
      <c r="L7" s="56">
        <f>'05_IncStmt'!L24</f>
        <v>661</v>
      </c>
    </row>
    <row r="8" spans="1:12" ht="15" customHeight="1" x14ac:dyDescent="0.2">
      <c r="A8" t="s">
        <v>353</v>
      </c>
      <c r="B8" s="22">
        <v>210</v>
      </c>
      <c r="C8" s="22">
        <v>220</v>
      </c>
      <c r="D8" s="56">
        <f>-'05_IncStmt'!D13</f>
        <v>238.54741799999999</v>
      </c>
      <c r="E8" s="56">
        <f>-'05_IncStmt'!E13</f>
        <v>259.73808513250003</v>
      </c>
      <c r="F8" s="56">
        <f>-'05_IncStmt'!F13</f>
        <v>282.8115347642688</v>
      </c>
      <c r="G8" s="56">
        <f>-'05_IncStmt'!G13</f>
        <v>307.03982904762404</v>
      </c>
      <c r="H8" s="56">
        <f>-'05_IncStmt'!H13</f>
        <v>325.25837138782106</v>
      </c>
      <c r="I8" s="56">
        <f>-'05_IncStmt'!I13</f>
        <v>344.58849940717505</v>
      </c>
      <c r="J8" s="56">
        <f>-'05_IncStmt'!J13</f>
        <v>365.09983848899424</v>
      </c>
      <c r="K8" s="56">
        <f>-'05_IncStmt'!K13</f>
        <v>386.86647851270646</v>
      </c>
      <c r="L8" s="56">
        <f>-'05_IncStmt'!L13</f>
        <v>409.96726590455273</v>
      </c>
    </row>
    <row r="9" spans="1:12" ht="15" customHeight="1" x14ac:dyDescent="0.2">
      <c r="A9" t="s">
        <v>256</v>
      </c>
      <c r="B9" s="61">
        <v>24</v>
      </c>
      <c r="C9" s="61">
        <v>154</v>
      </c>
      <c r="D9" s="62">
        <f>'14_DeferredRev'!D12</f>
        <v>142.62869999999998</v>
      </c>
      <c r="E9" s="62">
        <f>'14_DeferredRev'!E12</f>
        <v>144.69251124999982</v>
      </c>
      <c r="F9" s="62">
        <f>'14_DeferredRev'!F12</f>
        <v>157.35310598437491</v>
      </c>
      <c r="G9" s="62">
        <f>'14_DeferredRev'!G12</f>
        <v>171.12150275800764</v>
      </c>
      <c r="H9" s="62">
        <f>'14_DeferredRev'!H12</f>
        <v>148.87570739946705</v>
      </c>
      <c r="I9" s="62">
        <f>'14_DeferredRev'!I12</f>
        <v>159.29700691742937</v>
      </c>
      <c r="J9" s="62">
        <f>'14_DeferredRev'!J12</f>
        <v>170.44779740164995</v>
      </c>
      <c r="K9" s="62">
        <f>'14_DeferredRev'!K12</f>
        <v>182.37914321976496</v>
      </c>
      <c r="L9" s="62">
        <f>'14_DeferredRev'!L12</f>
        <v>195.14568324514858</v>
      </c>
    </row>
    <row r="10" spans="1:12" ht="15" customHeight="1" x14ac:dyDescent="0.2">
      <c r="A10" t="s">
        <v>354</v>
      </c>
      <c r="B10" s="61">
        <v>-62</v>
      </c>
      <c r="C10" s="61">
        <v>-4</v>
      </c>
      <c r="D10" s="61">
        <f>-(('06_BS'!D7+'06_BS'!D8-'06_BS'!D18-'06_BS'!D20)-('06_BS'!C7+'06_BS'!C8-'06_BS'!C18-'06_BS'!C20))</f>
        <v>-99</v>
      </c>
      <c r="E10" s="61">
        <f>-(('06_BS'!E7+'06_BS'!E8-'06_BS'!E18-'06_BS'!E20)-('06_BS'!D7+'06_BS'!D8-'06_BS'!D18-'06_BS'!D20))</f>
        <v>-88</v>
      </c>
      <c r="F10" s="61">
        <f>-(('06_BS'!F7+'06_BS'!F8-'06_BS'!F18-'06_BS'!F20)-('06_BS'!E7+'06_BS'!E8-'06_BS'!E18-'06_BS'!E20))</f>
        <v>-92</v>
      </c>
      <c r="G10" s="61">
        <f>-(('06_BS'!G7+'06_BS'!G8-'06_BS'!G18-'06_BS'!G20)-('06_BS'!F7+'06_BS'!F8-'06_BS'!F18-'06_BS'!F20))</f>
        <v>-99</v>
      </c>
      <c r="H10" s="61">
        <f>-(('06_BS'!H7+'06_BS'!H8-'06_BS'!H18-'06_BS'!H20)-('06_BS'!G7+'06_BS'!G8-'06_BS'!G18-'06_BS'!G20))</f>
        <v>-74</v>
      </c>
      <c r="I10" s="61">
        <f>-(('06_BS'!I7+'06_BS'!I8-'06_BS'!I18-'06_BS'!I20)-('06_BS'!H7+'06_BS'!H8-'06_BS'!H18-'06_BS'!H20))</f>
        <v>-79</v>
      </c>
      <c r="J10" s="61">
        <f>-(('06_BS'!J7+'06_BS'!J8-'06_BS'!J18-'06_BS'!J20)-('06_BS'!I7+'06_BS'!I8-'06_BS'!I18-'06_BS'!I20))</f>
        <v>-82</v>
      </c>
      <c r="K10" s="61">
        <f>-(('06_BS'!K7+'06_BS'!K8-'06_BS'!K18-'06_BS'!K20)-('06_BS'!J7+'06_BS'!J8-'06_BS'!J18-'06_BS'!J20))</f>
        <v>-89</v>
      </c>
      <c r="L10" s="61">
        <f>-(('06_BS'!L7+'06_BS'!L8-'06_BS'!L18-'06_BS'!L20)-('06_BS'!K7+'06_BS'!K8-'06_BS'!K18-'06_BS'!K20))</f>
        <v>-94</v>
      </c>
    </row>
    <row r="11" spans="1:12" ht="15" customHeight="1" x14ac:dyDescent="0.2">
      <c r="A11" s="31" t="s">
        <v>355</v>
      </c>
      <c r="B11" s="97">
        <v>2151</v>
      </c>
      <c r="C11" s="97">
        <v>2838</v>
      </c>
      <c r="D11" s="98">
        <f t="shared" ref="D11:L11" si="0">D6+D7+D8+D9+D10</f>
        <v>3203.4349137600002</v>
      </c>
      <c r="E11" s="98">
        <f t="shared" si="0"/>
        <v>3466.0056779897127</v>
      </c>
      <c r="F11" s="98">
        <f t="shared" si="0"/>
        <v>3746.2627590504085</v>
      </c>
      <c r="G11" s="98">
        <f t="shared" si="0"/>
        <v>4055.918333635329</v>
      </c>
      <c r="H11" s="98">
        <f t="shared" si="0"/>
        <v>4280.6366827865113</v>
      </c>
      <c r="I11" s="98">
        <f t="shared" si="0"/>
        <v>4515.7873412255849</v>
      </c>
      <c r="J11" s="98">
        <f t="shared" si="0"/>
        <v>4766.9810849384903</v>
      </c>
      <c r="K11" s="98">
        <f t="shared" si="0"/>
        <v>5037.5386195159372</v>
      </c>
      <c r="L11" s="98">
        <f t="shared" si="0"/>
        <v>5324.1082555642761</v>
      </c>
    </row>
    <row r="12" spans="1:12" ht="15" customHeight="1" x14ac:dyDescent="0.2">
      <c r="A12" t="s">
        <v>277</v>
      </c>
      <c r="B12" s="61">
        <v>-271</v>
      </c>
      <c r="C12" s="61">
        <v>-317</v>
      </c>
      <c r="D12" s="62">
        <f>'08_DFCF'!D9</f>
        <v>-346.27850999999998</v>
      </c>
      <c r="E12" s="62">
        <f>'08_DFCF'!E9</f>
        <v>-377.0391558375</v>
      </c>
      <c r="F12" s="62">
        <f>'08_DFCF'!F9</f>
        <v>-410.5328730449063</v>
      </c>
      <c r="G12" s="62">
        <f>'08_DFCF'!G9</f>
        <v>-445.70297764977681</v>
      </c>
      <c r="H12" s="62">
        <f>'08_DFCF'!H9</f>
        <v>-472.14924878877252</v>
      </c>
      <c r="I12" s="62">
        <f>'08_DFCF'!I9</f>
        <v>-500.20911204267344</v>
      </c>
      <c r="J12" s="62">
        <f>'08_DFCF'!J9</f>
        <v>-529.98363651628188</v>
      </c>
      <c r="K12" s="62">
        <f>'08_DFCF'!K9</f>
        <v>-561.58037203457388</v>
      </c>
      <c r="L12" s="62">
        <f>'08_DFCF'!L9</f>
        <v>-595.113773087254</v>
      </c>
    </row>
    <row r="13" spans="1:12" ht="15" customHeight="1" x14ac:dyDescent="0.2">
      <c r="A13" s="31" t="s">
        <v>356</v>
      </c>
      <c r="B13" s="32">
        <f t="shared" ref="B13:L13" si="1">B11+B12</f>
        <v>1880</v>
      </c>
      <c r="C13" s="32">
        <f t="shared" si="1"/>
        <v>2521</v>
      </c>
      <c r="D13" s="32">
        <f t="shared" si="1"/>
        <v>2857.1564037600001</v>
      </c>
      <c r="E13" s="32">
        <f t="shared" si="1"/>
        <v>3088.9665221522127</v>
      </c>
      <c r="F13" s="32">
        <f t="shared" si="1"/>
        <v>3335.7298860055021</v>
      </c>
      <c r="G13" s="32">
        <f t="shared" si="1"/>
        <v>3610.2153559855524</v>
      </c>
      <c r="H13" s="32">
        <f t="shared" si="1"/>
        <v>3808.4874339977387</v>
      </c>
      <c r="I13" s="32">
        <f t="shared" si="1"/>
        <v>4015.5782291829114</v>
      </c>
      <c r="J13" s="32">
        <f t="shared" si="1"/>
        <v>4236.9974484222084</v>
      </c>
      <c r="K13" s="32">
        <f t="shared" si="1"/>
        <v>4475.9582474813633</v>
      </c>
      <c r="L13" s="32">
        <f t="shared" si="1"/>
        <v>4728.9944824770218</v>
      </c>
    </row>
    <row r="15" spans="1:12" ht="15" customHeight="1" x14ac:dyDescent="0.2">
      <c r="A15" s="30" t="s">
        <v>357</v>
      </c>
    </row>
    <row r="16" spans="1:12" ht="15" customHeight="1" x14ac:dyDescent="0.2">
      <c r="A16" t="s">
        <v>114</v>
      </c>
      <c r="B16" s="61">
        <v>-564</v>
      </c>
      <c r="C16" s="61">
        <v>-620</v>
      </c>
      <c r="D16" s="57">
        <f>-ROUND(D6*'03_Drivers'!$D$35,0)</f>
        <v>-738</v>
      </c>
      <c r="E16" s="57">
        <f>-ROUND(E6*'03_Drivers'!$D$35,0)</f>
        <v>-799</v>
      </c>
      <c r="F16" s="57">
        <f>-ROUND(F6*'03_Drivers'!$D$35,0)</f>
        <v>-866</v>
      </c>
      <c r="G16" s="57">
        <f>-ROUND(G6*'03_Drivers'!$D$35,0)</f>
        <v>-940</v>
      </c>
      <c r="H16" s="57">
        <f>-ROUND(H6*'03_Drivers'!$D$35,0)</f>
        <v>-994</v>
      </c>
      <c r="I16" s="57">
        <f>-ROUND(I6*'03_Drivers'!$D$35,0)</f>
        <v>-1051</v>
      </c>
      <c r="J16" s="57">
        <f>-ROUND(J6*'03_Drivers'!$D$35,0)</f>
        <v>-1110</v>
      </c>
      <c r="K16" s="57">
        <f>-ROUND(K6*'03_Drivers'!$D$35,0)</f>
        <v>-1176</v>
      </c>
      <c r="L16" s="57">
        <f>-ROUND(L6*'03_Drivers'!$D$35,0)</f>
        <v>-1246</v>
      </c>
    </row>
    <row r="17" spans="1:13" ht="15" customHeight="1" x14ac:dyDescent="0.2">
      <c r="A17" t="s">
        <v>358</v>
      </c>
      <c r="B17" s="61">
        <v>-500</v>
      </c>
      <c r="C17" s="61">
        <v>496</v>
      </c>
      <c r="D17" s="53">
        <f>IF((C22-C30)/'05_IncStmt'!D25&gt;='03_Drivers'!$D$46,0,MIN('03_Drivers'!D41,ROUND(('03_Drivers'!$D$46*'05_IncStmt'!D25-(C22-C30))*'03_Drivers'!$D$47,0)))</f>
        <v>500</v>
      </c>
      <c r="E17" s="53">
        <f>IF((D22-D30)/'05_IncStmt'!E25&gt;='03_Drivers'!$D$46,0,MIN('03_Drivers'!E41,ROUND(('03_Drivers'!$D$46*'05_IncStmt'!E25-(D22-D30))*'03_Drivers'!$D$47,0)))</f>
        <v>500</v>
      </c>
      <c r="F17" s="53">
        <f>IF((E22-E30)/'05_IncStmt'!F25&gt;='03_Drivers'!$D$46,0,MIN('03_Drivers'!F41,ROUND(('03_Drivers'!$D$46*'05_IncStmt'!F25-(E22-E30))*'03_Drivers'!$D$47,0)))</f>
        <v>281</v>
      </c>
      <c r="G17" s="53">
        <f>IF((F22-F30)/'05_IncStmt'!G25&gt;='03_Drivers'!$D$46,0,MIN('03_Drivers'!G41,ROUND(('03_Drivers'!$D$46*'05_IncStmt'!G25-(F22-F30))*'03_Drivers'!$D$47,0)))</f>
        <v>213</v>
      </c>
      <c r="H17" s="53">
        <f>IF((G22-G30)/'05_IncStmt'!H25&gt;='03_Drivers'!$D$46,0,MIN('03_Drivers'!H41,ROUND(('03_Drivers'!$D$46*'05_IncStmt'!H25-(G22-G30))*'03_Drivers'!$D$47,0)))</f>
        <v>300</v>
      </c>
      <c r="I17" s="53">
        <f>IF((H22-H30)/'05_IncStmt'!I25&gt;='03_Drivers'!$D$46,0,MIN('03_Drivers'!I41,ROUND(('03_Drivers'!$D$46*'05_IncStmt'!I25-(H22-H30))*'03_Drivers'!$D$47,0)))</f>
        <v>300</v>
      </c>
      <c r="J17" s="53">
        <f>IF((I22-I30)/'05_IncStmt'!J25&gt;='03_Drivers'!$D$46,0,MIN('03_Drivers'!J41,ROUND(('03_Drivers'!$D$46*'05_IncStmt'!J25-(I22-I30))*'03_Drivers'!$D$47,0)))</f>
        <v>0</v>
      </c>
      <c r="K17" s="53">
        <f>IF((J22-J30)/'05_IncStmt'!K25&gt;='03_Drivers'!$D$46,0,MIN('03_Drivers'!K41,ROUND(('03_Drivers'!$D$46*'05_IncStmt'!K25-(J22-J30))*'03_Drivers'!$D$47,0)))</f>
        <v>0</v>
      </c>
      <c r="L17" s="53">
        <f>IF((K22-K30)/'05_IncStmt'!L25&gt;='03_Drivers'!$D$46,0,MIN('03_Drivers'!L41,ROUND(('03_Drivers'!$D$46*'05_IncStmt'!L25-(K22-K30))*'03_Drivers'!$D$47,0)))</f>
        <v>0</v>
      </c>
    </row>
    <row r="18" spans="1:13" ht="15" customHeight="1" x14ac:dyDescent="0.2">
      <c r="A18" s="31" t="s">
        <v>359</v>
      </c>
      <c r="B18" s="83"/>
      <c r="C18" s="83"/>
      <c r="D18" s="53">
        <f>MIN(MAX(0,C30+D13+D16+D17-'03_Drivers'!$D$38),D13+D16+D17+$B$31)</f>
        <v>3369.1564037600001</v>
      </c>
      <c r="E18" s="53">
        <f>MIN(MAX(0,D30+E13+E16+E17-'03_Drivers'!$D$38),E13+E16+E17+$B$31)</f>
        <v>3539.9665221522127</v>
      </c>
      <c r="F18" s="53">
        <f>MIN(MAX(0,E30+F13+F16+F17-'03_Drivers'!$D$38),F13+F16+F17+$B$31)</f>
        <v>3224.7298860055016</v>
      </c>
      <c r="G18" s="53">
        <f>MIN(MAX(0,F30+G13+G16+G17-'03_Drivers'!$D$38),G13+G16+G17+$B$31)</f>
        <v>2883.2153559855524</v>
      </c>
      <c r="H18" s="53">
        <f>MIN(MAX(0,G30+H13+H16+H17-'03_Drivers'!$D$38),H13+H16+H17+$B$31)</f>
        <v>3114.4874339977387</v>
      </c>
      <c r="I18" s="53">
        <f>MIN(MAX(0,H30+I13+I16+I17-'03_Drivers'!$D$38),I13+I16+I17+$B$31)</f>
        <v>3264.5782291829109</v>
      </c>
      <c r="J18" s="53">
        <f>MIN(MAX(0,I30+J13+J16+J17-'03_Drivers'!$D$38),J13+J16+J17+$B$31)</f>
        <v>3126.9974484222084</v>
      </c>
      <c r="K18" s="53">
        <f>MIN(MAX(0,J30+K13+K16+K17-'03_Drivers'!$D$38),K13+K16+K17+$B$31)</f>
        <v>3299.9582474813633</v>
      </c>
      <c r="L18" s="53">
        <f>MIN(MAX(0,K30+L13+L16+L17-'03_Drivers'!$D$38),L13+L16+L17+$B$31)</f>
        <v>3482.9944824770218</v>
      </c>
    </row>
    <row r="19" spans="1:13" ht="15" customHeight="1" x14ac:dyDescent="0.2">
      <c r="A19" t="s">
        <v>360</v>
      </c>
      <c r="B19" s="61">
        <v>-490</v>
      </c>
      <c r="C19" s="61">
        <v>-1292</v>
      </c>
      <c r="D19" s="57">
        <f t="shared" ref="D19:L19" si="2">-D18</f>
        <v>-3369.1564037600001</v>
      </c>
      <c r="E19" s="57">
        <f t="shared" si="2"/>
        <v>-3539.9665221522127</v>
      </c>
      <c r="F19" s="57">
        <f t="shared" si="2"/>
        <v>-3224.7298860055016</v>
      </c>
      <c r="G19" s="57">
        <f t="shared" si="2"/>
        <v>-2883.2153559855524</v>
      </c>
      <c r="H19" s="57">
        <f t="shared" si="2"/>
        <v>-3114.4874339977387</v>
      </c>
      <c r="I19" s="57">
        <f t="shared" si="2"/>
        <v>-3264.5782291829109</v>
      </c>
      <c r="J19" s="57">
        <f t="shared" si="2"/>
        <v>-3126.9974484222084</v>
      </c>
      <c r="K19" s="57">
        <f t="shared" si="2"/>
        <v>-3299.9582474813633</v>
      </c>
      <c r="L19" s="57">
        <f t="shared" si="2"/>
        <v>-3482.9944824770218</v>
      </c>
    </row>
    <row r="20" spans="1:13" ht="15" customHeight="1" x14ac:dyDescent="0.2">
      <c r="A20" s="31" t="s">
        <v>361</v>
      </c>
      <c r="B20" s="68">
        <f t="shared" ref="B20:L20" si="3">B16+B19</f>
        <v>-1054</v>
      </c>
      <c r="C20" s="68">
        <f t="shared" si="3"/>
        <v>-1912</v>
      </c>
      <c r="D20" s="68">
        <f t="shared" si="3"/>
        <v>-4107.1564037600001</v>
      </c>
      <c r="E20" s="68">
        <f t="shared" si="3"/>
        <v>-4338.9665221522127</v>
      </c>
      <c r="F20" s="68">
        <f t="shared" si="3"/>
        <v>-4090.7298860055016</v>
      </c>
      <c r="G20" s="68">
        <f t="shared" si="3"/>
        <v>-3823.2153559855524</v>
      </c>
      <c r="H20" s="68">
        <f t="shared" si="3"/>
        <v>-4108.4874339977387</v>
      </c>
      <c r="I20" s="68">
        <f t="shared" si="3"/>
        <v>-4315.5782291829109</v>
      </c>
      <c r="J20" s="68">
        <f t="shared" si="3"/>
        <v>-4236.9974484222084</v>
      </c>
      <c r="K20" s="68">
        <f t="shared" si="3"/>
        <v>-4475.9582474813633</v>
      </c>
      <c r="L20" s="68">
        <f t="shared" si="3"/>
        <v>-4728.9944824770218</v>
      </c>
    </row>
    <row r="22" spans="1:13" ht="15" customHeight="1" x14ac:dyDescent="0.2">
      <c r="A22" s="30" t="s">
        <v>362</v>
      </c>
      <c r="B22" s="22">
        <v>7746</v>
      </c>
      <c r="C22" s="22">
        <v>7746</v>
      </c>
      <c r="D22" s="53">
        <f t="shared" ref="D22:L22" si="4">C22+D17</f>
        <v>8246</v>
      </c>
      <c r="E22" s="53">
        <f t="shared" si="4"/>
        <v>8746</v>
      </c>
      <c r="F22" s="53">
        <f t="shared" si="4"/>
        <v>9027</v>
      </c>
      <c r="G22" s="53">
        <f t="shared" si="4"/>
        <v>9240</v>
      </c>
      <c r="H22" s="53">
        <f t="shared" si="4"/>
        <v>9540</v>
      </c>
      <c r="I22" s="53">
        <f t="shared" si="4"/>
        <v>9840</v>
      </c>
      <c r="J22" s="53">
        <f t="shared" si="4"/>
        <v>9840</v>
      </c>
      <c r="K22" s="53">
        <f t="shared" si="4"/>
        <v>9840</v>
      </c>
      <c r="L22" s="53">
        <f t="shared" si="4"/>
        <v>9840</v>
      </c>
    </row>
    <row r="24" spans="1:13" ht="15" customHeight="1" x14ac:dyDescent="0.2">
      <c r="A24" s="30" t="s">
        <v>363</v>
      </c>
    </row>
    <row r="25" spans="1:13" ht="15" customHeight="1" x14ac:dyDescent="0.2">
      <c r="A25" t="s">
        <v>199</v>
      </c>
      <c r="D25" s="47">
        <f>'03_Drivers'!$D$36</f>
        <v>32</v>
      </c>
      <c r="E25" s="47">
        <f>'03_Drivers'!$D$36</f>
        <v>32</v>
      </c>
      <c r="F25" s="47">
        <f>'03_Drivers'!$D$36</f>
        <v>32</v>
      </c>
      <c r="G25" s="47">
        <f>'03_Drivers'!$D$36</f>
        <v>32</v>
      </c>
      <c r="H25" s="47">
        <f>'03_Drivers'!$D$36</f>
        <v>32</v>
      </c>
      <c r="I25" s="47">
        <f>'03_Drivers'!$D$36</f>
        <v>32</v>
      </c>
      <c r="J25" s="47">
        <f>'03_Drivers'!$D$36</f>
        <v>32</v>
      </c>
      <c r="K25" s="47">
        <f>'03_Drivers'!$D$36</f>
        <v>32</v>
      </c>
      <c r="L25" s="47">
        <f>'03_Drivers'!$D$36</f>
        <v>32</v>
      </c>
    </row>
    <row r="26" spans="1:13" ht="15" customHeight="1" x14ac:dyDescent="0.2">
      <c r="A26" s="51" t="s">
        <v>364</v>
      </c>
      <c r="D26" s="99">
        <f t="shared" ref="D26:L26" si="5">D25*C42</f>
        <v>399.04</v>
      </c>
      <c r="E26" s="99">
        <f t="shared" si="5"/>
        <v>473.14989492244894</v>
      </c>
      <c r="F26" s="99">
        <f t="shared" si="5"/>
        <v>530.48711604396931</v>
      </c>
      <c r="G26" s="99">
        <f t="shared" si="5"/>
        <v>592.84339142997214</v>
      </c>
      <c r="H26" s="99">
        <f t="shared" si="5"/>
        <v>658.81003839385494</v>
      </c>
      <c r="I26" s="99">
        <f t="shared" si="5"/>
        <v>712.8771552311083</v>
      </c>
      <c r="J26" s="99">
        <f t="shared" si="5"/>
        <v>771.13823654943985</v>
      </c>
      <c r="K26" s="99">
        <f t="shared" si="5"/>
        <v>832.75952144007601</v>
      </c>
      <c r="L26" s="99">
        <f t="shared" si="5"/>
        <v>900.37025302162601</v>
      </c>
    </row>
    <row r="27" spans="1:13" ht="15" customHeight="1" x14ac:dyDescent="0.2">
      <c r="A27" t="s">
        <v>365</v>
      </c>
      <c r="D27" s="100">
        <f t="shared" ref="D27:L27" si="6">IF(D26=0,0,-D19/D26)</f>
        <v>8.4431545803929424</v>
      </c>
      <c r="E27" s="100">
        <f t="shared" si="6"/>
        <v>7.4817020148180031</v>
      </c>
      <c r="F27" s="100">
        <f t="shared" si="6"/>
        <v>6.0788090577080496</v>
      </c>
      <c r="G27" s="100">
        <f t="shared" si="6"/>
        <v>4.8633676240044981</v>
      </c>
      <c r="H27" s="100">
        <f t="shared" si="6"/>
        <v>4.7274438039691979</v>
      </c>
      <c r="I27" s="100">
        <f t="shared" si="6"/>
        <v>4.579440097395973</v>
      </c>
      <c r="J27" s="100">
        <f t="shared" si="6"/>
        <v>4.0550413664019214</v>
      </c>
      <c r="K27" s="100">
        <f t="shared" si="6"/>
        <v>3.9626784954374403</v>
      </c>
      <c r="L27" s="100">
        <f t="shared" si="6"/>
        <v>3.8684024386502736</v>
      </c>
    </row>
    <row r="28" spans="1:13" ht="15" customHeight="1" x14ac:dyDescent="0.2">
      <c r="A28" s="6" t="s">
        <v>366</v>
      </c>
      <c r="D28" s="101">
        <f>IF(D26=0,0,ABS('05_IncStmt'!D13)/D26)</f>
        <v>0.59780327285485158</v>
      </c>
      <c r="E28" s="101">
        <f>IF(E26=0,0,ABS('05_IncStmt'!E13)/E26)</f>
        <v>0.54895517872844946</v>
      </c>
      <c r="F28" s="101">
        <f>IF(F26=0,0,ABS('05_IncStmt'!F13)/F26)</f>
        <v>0.53311668881479113</v>
      </c>
      <c r="G28" s="101">
        <f>IF(G26=0,0,ABS('05_IncStmt'!G13)/G26)</f>
        <v>0.51791051985420034</v>
      </c>
      <c r="H28" s="101">
        <f>IF(H26=0,0,ABS('05_IncStmt'!H13)/H26)</f>
        <v>0.49370585211601248</v>
      </c>
      <c r="I28" s="101">
        <f>IF(I26=0,0,ABS('05_IncStmt'!I13)/I26)</f>
        <v>0.48337711045806003</v>
      </c>
      <c r="J28" s="101">
        <f>IF(J26=0,0,ABS('05_IncStmt'!J13)/J26)</f>
        <v>0.47345575823432362</v>
      </c>
      <c r="K28" s="101">
        <f>IF(K26=0,0,ABS('05_IncStmt'!K13)/K26)</f>
        <v>0.46455965804354327</v>
      </c>
      <c r="L28" s="101">
        <f>IF(L26=0,0,ABS('05_IncStmt'!L13)/L26)</f>
        <v>0.45533186433993139</v>
      </c>
    </row>
    <row r="29" spans="1:13" ht="15" customHeight="1" x14ac:dyDescent="0.2">
      <c r="A29" s="31" t="s">
        <v>367</v>
      </c>
      <c r="B29" s="102">
        <v>182.5</v>
      </c>
      <c r="C29" s="102">
        <v>180.3</v>
      </c>
      <c r="D29" s="103">
        <f t="shared" ref="D29:L29" si="7">C29-D27+D28</f>
        <v>172.45464869246192</v>
      </c>
      <c r="E29" s="103">
        <f t="shared" si="7"/>
        <v>165.52190185637235</v>
      </c>
      <c r="F29" s="103">
        <f t="shared" si="7"/>
        <v>159.97620948747911</v>
      </c>
      <c r="G29" s="103">
        <f t="shared" si="7"/>
        <v>155.63075238332883</v>
      </c>
      <c r="H29" s="103">
        <f t="shared" si="7"/>
        <v>151.39701443147564</v>
      </c>
      <c r="I29" s="103">
        <f t="shared" si="7"/>
        <v>147.30095144453773</v>
      </c>
      <c r="J29" s="103">
        <f t="shared" si="7"/>
        <v>143.71936583637014</v>
      </c>
      <c r="K29" s="103">
        <f t="shared" si="7"/>
        <v>140.22124699897626</v>
      </c>
      <c r="L29" s="103">
        <f t="shared" si="7"/>
        <v>136.80817642466593</v>
      </c>
    </row>
    <row r="30" spans="1:13" ht="15" customHeight="1" x14ac:dyDescent="0.2">
      <c r="A30" s="31" t="s">
        <v>368</v>
      </c>
      <c r="B30" s="97">
        <v>1809</v>
      </c>
      <c r="C30" s="97">
        <v>2974</v>
      </c>
      <c r="D30" s="98">
        <f t="shared" ref="D30:L30" si="8">C30+D13+D16+D17+D19</f>
        <v>2224</v>
      </c>
      <c r="E30" s="98">
        <f t="shared" si="8"/>
        <v>1474</v>
      </c>
      <c r="F30" s="98">
        <f t="shared" si="8"/>
        <v>1000</v>
      </c>
      <c r="G30" s="98">
        <f t="shared" si="8"/>
        <v>1000</v>
      </c>
      <c r="H30" s="98">
        <f t="shared" si="8"/>
        <v>1000</v>
      </c>
      <c r="I30" s="98">
        <f t="shared" si="8"/>
        <v>1000</v>
      </c>
      <c r="J30" s="98">
        <f t="shared" si="8"/>
        <v>1000</v>
      </c>
      <c r="K30" s="98">
        <f t="shared" si="8"/>
        <v>1000</v>
      </c>
      <c r="L30" s="98">
        <f t="shared" si="8"/>
        <v>1000</v>
      </c>
      <c r="M30" t="s">
        <v>369</v>
      </c>
    </row>
    <row r="31" spans="1:13" ht="15" customHeight="1" x14ac:dyDescent="0.2">
      <c r="A31" s="58" t="s">
        <v>370</v>
      </c>
      <c r="B31">
        <v>750</v>
      </c>
    </row>
    <row r="32" spans="1:13" ht="15" customHeight="1" x14ac:dyDescent="0.2">
      <c r="A32" s="30" t="s">
        <v>371</v>
      </c>
    </row>
    <row r="33" spans="1:12" ht="15" customHeight="1" x14ac:dyDescent="0.2">
      <c r="A33" t="s">
        <v>106</v>
      </c>
      <c r="B33" s="53">
        <f t="shared" ref="B33:L33" si="9">B22-B30</f>
        <v>5937</v>
      </c>
      <c r="C33" s="53">
        <f t="shared" si="9"/>
        <v>4772</v>
      </c>
      <c r="D33" s="53">
        <f t="shared" si="9"/>
        <v>6022</v>
      </c>
      <c r="E33" s="53">
        <f t="shared" si="9"/>
        <v>7272</v>
      </c>
      <c r="F33" s="53">
        <f t="shared" si="9"/>
        <v>8027</v>
      </c>
      <c r="G33" s="53">
        <f t="shared" si="9"/>
        <v>8240</v>
      </c>
      <c r="H33" s="53">
        <f t="shared" si="9"/>
        <v>8540</v>
      </c>
      <c r="I33" s="53">
        <f t="shared" si="9"/>
        <v>8840</v>
      </c>
      <c r="J33" s="53">
        <f t="shared" si="9"/>
        <v>8840</v>
      </c>
      <c r="K33" s="53">
        <f t="shared" si="9"/>
        <v>8840</v>
      </c>
      <c r="L33" s="53">
        <f t="shared" si="9"/>
        <v>8840</v>
      </c>
    </row>
    <row r="34" spans="1:12" ht="15" customHeight="1" x14ac:dyDescent="0.2">
      <c r="A34" t="s">
        <v>372</v>
      </c>
      <c r="B34" s="56">
        <f>'05_IncStmt'!B25</f>
        <v>2970</v>
      </c>
      <c r="C34" s="56">
        <f>'05_IncStmt'!C25</f>
        <v>3839</v>
      </c>
      <c r="D34" s="56">
        <f>'05_IncStmt'!D25</f>
        <v>4190.4433099999997</v>
      </c>
      <c r="E34" s="56">
        <f>'05_IncStmt'!E25</f>
        <v>4529.5779333468754</v>
      </c>
      <c r="F34" s="56">
        <f>'05_IncStmt'!F25</f>
        <v>4896.2193787408905</v>
      </c>
      <c r="G34" s="56">
        <f>'05_IncStmt'!G25</f>
        <v>5283.1129083164669</v>
      </c>
      <c r="H34" s="56">
        <f>'05_IncStmt'!H25</f>
        <v>5551.3386329252862</v>
      </c>
      <c r="I34" s="56">
        <f>'05_IncStmt'!I25</f>
        <v>5833.2062364597141</v>
      </c>
      <c r="J34" s="56">
        <f>'05_IncStmt'!J25</f>
        <v>6130.5273372682841</v>
      </c>
      <c r="K34" s="56">
        <f>'05_IncStmt'!K25</f>
        <v>6444.165193619714</v>
      </c>
      <c r="L34" s="56">
        <f>'05_IncStmt'!L25</f>
        <v>6775.0381715642643</v>
      </c>
    </row>
    <row r="35" spans="1:12" ht="15" customHeight="1" x14ac:dyDescent="0.2">
      <c r="A35" s="31" t="s">
        <v>125</v>
      </c>
      <c r="B35" s="104">
        <f t="shared" ref="B35:L35" si="10">IF(B34=0,0,B33/B34)</f>
        <v>1.9989898989898991</v>
      </c>
      <c r="C35" s="104">
        <f t="shared" si="10"/>
        <v>1.2430320395936443</v>
      </c>
      <c r="D35" s="104">
        <f t="shared" si="10"/>
        <v>1.437079457829487</v>
      </c>
      <c r="E35" s="104">
        <f t="shared" si="10"/>
        <v>1.6054475951199203</v>
      </c>
      <c r="F35" s="104">
        <f t="shared" si="10"/>
        <v>1.6394281749001653</v>
      </c>
      <c r="G35" s="104">
        <f t="shared" si="10"/>
        <v>1.5596865225100374</v>
      </c>
      <c r="H35" s="104">
        <f t="shared" si="10"/>
        <v>1.5383676919560993</v>
      </c>
      <c r="I35" s="104">
        <f t="shared" si="10"/>
        <v>1.515461590359467</v>
      </c>
      <c r="J35" s="104">
        <f t="shared" si="10"/>
        <v>1.441964045451763</v>
      </c>
      <c r="K35" s="104">
        <f t="shared" si="10"/>
        <v>1.3717835800907729</v>
      </c>
      <c r="L35" s="104">
        <f t="shared" si="10"/>
        <v>1.3047896965514756</v>
      </c>
    </row>
    <row r="36" spans="1:12" ht="15" customHeight="1" x14ac:dyDescent="0.2">
      <c r="A36" t="s">
        <v>373</v>
      </c>
      <c r="D36" s="48">
        <f>'03_Drivers'!$D$37</f>
        <v>1.75</v>
      </c>
      <c r="E36" s="48">
        <f>'03_Drivers'!$D$37</f>
        <v>1.75</v>
      </c>
      <c r="F36" s="48">
        <f>'03_Drivers'!$D$37</f>
        <v>1.75</v>
      </c>
      <c r="G36" s="48">
        <f>'03_Drivers'!$D$37</f>
        <v>1.75</v>
      </c>
      <c r="H36" s="48">
        <f>'03_Drivers'!$D$37</f>
        <v>1.75</v>
      </c>
      <c r="I36" s="48">
        <f>'03_Drivers'!$D$37</f>
        <v>1.75</v>
      </c>
      <c r="J36" s="48">
        <f>'03_Drivers'!$D$37</f>
        <v>1.75</v>
      </c>
      <c r="K36" s="48">
        <f>'03_Drivers'!$D$37</f>
        <v>1.75</v>
      </c>
      <c r="L36" s="48">
        <f>'03_Drivers'!$D$37</f>
        <v>1.75</v>
      </c>
    </row>
    <row r="37" spans="1:12" ht="15" customHeight="1" x14ac:dyDescent="0.2">
      <c r="A37" t="s">
        <v>374</v>
      </c>
      <c r="D37" s="48">
        <f>'11_Scenarios'!E23</f>
        <v>2.5</v>
      </c>
      <c r="E37" s="48">
        <f>'11_Scenarios'!E23</f>
        <v>2.5</v>
      </c>
      <c r="F37" s="48">
        <f>'11_Scenarios'!E23</f>
        <v>2.5</v>
      </c>
      <c r="G37" s="48">
        <f>'11_Scenarios'!E23</f>
        <v>2.5</v>
      </c>
      <c r="H37" s="48">
        <f>'11_Scenarios'!E23</f>
        <v>2.5</v>
      </c>
      <c r="I37" s="48">
        <f>'11_Scenarios'!E23</f>
        <v>2.5</v>
      </c>
      <c r="J37" s="48">
        <f>'11_Scenarios'!E23</f>
        <v>2.5</v>
      </c>
      <c r="K37" s="48">
        <f>'11_Scenarios'!E23</f>
        <v>2.5</v>
      </c>
      <c r="L37" s="48">
        <f>'11_Scenarios'!E23</f>
        <v>2.5</v>
      </c>
    </row>
    <row r="38" spans="1:12" ht="15" customHeight="1" x14ac:dyDescent="0.2">
      <c r="A38" t="s">
        <v>307</v>
      </c>
      <c r="D38" s="31" t="str">
        <f t="shared" ref="D38:L38" si="11">IF(D35&gt;D37,"RED FLAG",IF(D35&gt;D36,"ABOVE TARGET","OK"))</f>
        <v>OK</v>
      </c>
      <c r="E38" s="31" t="str">
        <f t="shared" si="11"/>
        <v>OK</v>
      </c>
      <c r="F38" s="31" t="str">
        <f t="shared" si="11"/>
        <v>OK</v>
      </c>
      <c r="G38" s="31" t="str">
        <f t="shared" si="11"/>
        <v>OK</v>
      </c>
      <c r="H38" s="31" t="str">
        <f t="shared" si="11"/>
        <v>OK</v>
      </c>
      <c r="I38" s="31" t="str">
        <f t="shared" si="11"/>
        <v>OK</v>
      </c>
      <c r="J38" s="31" t="str">
        <f t="shared" si="11"/>
        <v>OK</v>
      </c>
      <c r="K38" s="31" t="str">
        <f t="shared" si="11"/>
        <v>OK</v>
      </c>
      <c r="L38" s="31" t="str">
        <f t="shared" si="11"/>
        <v>OK</v>
      </c>
    </row>
    <row r="40" spans="1:12" ht="15" customHeight="1" x14ac:dyDescent="0.2">
      <c r="A40" s="31" t="s">
        <v>375</v>
      </c>
      <c r="B40" s="24">
        <v>184</v>
      </c>
      <c r="C40" s="24">
        <v>182.7</v>
      </c>
      <c r="D40" s="105">
        <f t="shared" ref="D40:L40" si="12">ROUND((C29+D29)/2,1)</f>
        <v>176.4</v>
      </c>
      <c r="E40" s="105">
        <f t="shared" si="12"/>
        <v>169</v>
      </c>
      <c r="F40" s="105">
        <f t="shared" si="12"/>
        <v>162.69999999999999</v>
      </c>
      <c r="G40" s="105">
        <f t="shared" si="12"/>
        <v>157.80000000000001</v>
      </c>
      <c r="H40" s="105">
        <f t="shared" si="12"/>
        <v>153.5</v>
      </c>
      <c r="I40" s="105">
        <f t="shared" si="12"/>
        <v>149.30000000000001</v>
      </c>
      <c r="J40" s="105">
        <f t="shared" si="12"/>
        <v>145.5</v>
      </c>
      <c r="K40" s="105">
        <f t="shared" si="12"/>
        <v>142</v>
      </c>
      <c r="L40" s="105">
        <f t="shared" si="12"/>
        <v>138.5</v>
      </c>
    </row>
    <row r="41" spans="1:12" ht="15" customHeight="1" x14ac:dyDescent="0.2">
      <c r="A41" s="31" t="s">
        <v>376</v>
      </c>
      <c r="B41" s="106">
        <f t="shared" ref="B41:L41" si="13">IF(B40=0,0,B6/B40)</f>
        <v>8.7336956521739122</v>
      </c>
      <c r="C41" s="106">
        <f t="shared" si="13"/>
        <v>11.264367816091955</v>
      </c>
      <c r="D41" s="106">
        <f t="shared" si="13"/>
        <v>13.941376393197277</v>
      </c>
      <c r="E41" s="106">
        <f t="shared" si="13"/>
        <v>15.760799299450962</v>
      </c>
      <c r="F41" s="106">
        <f t="shared" si="13"/>
        <v>17.744917752315704</v>
      </c>
      <c r="G41" s="106">
        <f t="shared" si="13"/>
        <v>19.846368832887816</v>
      </c>
      <c r="H41" s="106">
        <f t="shared" si="13"/>
        <v>21.586336182405358</v>
      </c>
      <c r="I41" s="106">
        <f t="shared" si="13"/>
        <v>23.455471097796252</v>
      </c>
      <c r="J41" s="106">
        <f t="shared" si="13"/>
        <v>25.439405148095162</v>
      </c>
      <c r="K41" s="106">
        <f t="shared" si="13"/>
        <v>27.61473942101032</v>
      </c>
      <c r="L41" s="106">
        <f t="shared" si="13"/>
        <v>29.978305461477074</v>
      </c>
    </row>
    <row r="42" spans="1:12" ht="15" customHeight="1" x14ac:dyDescent="0.2">
      <c r="A42" s="31" t="s">
        <v>377</v>
      </c>
      <c r="B42" s="107">
        <v>10.25</v>
      </c>
      <c r="C42" s="107">
        <v>12.47</v>
      </c>
      <c r="D42" s="40">
        <f>IF(D40=0,0,(D6+ABS('05_IncStmt'!D14)*(1-'03_Drivers'!$D$32)+ABS('05_IncStmt'!D15)*(1-'03_Drivers'!$D$32))/D40)</f>
        <v>14.785934216326529</v>
      </c>
      <c r="E42" s="40">
        <f>IF(E40=0,0,(E6+ABS('05_IncStmt'!E14)*(1-'03_Drivers'!$D$32)+ABS('05_IncStmt'!E15)*(1-'03_Drivers'!$D$32))/E40)</f>
        <v>16.577722376374041</v>
      </c>
      <c r="F42" s="40">
        <f>IF(F40=0,0,(F6+ABS('05_IncStmt'!F14)*(1-'03_Drivers'!$D$32)+ABS('05_IncStmt'!F15)*(1-'03_Drivers'!$D$32))/F40)</f>
        <v>18.526355982186629</v>
      </c>
      <c r="G42" s="40">
        <f>IF(G40=0,0,(G6+ABS('05_IncStmt'!G14)*(1-'03_Drivers'!$D$32)+ABS('05_IncStmt'!G15)*(1-'03_Drivers'!$D$32))/G40)</f>
        <v>20.587813699807967</v>
      </c>
      <c r="H42" s="40">
        <f>IF(H40=0,0,(H6+ABS('05_IncStmt'!H14)*(1-'03_Drivers'!$D$32)+ABS('05_IncStmt'!H15)*(1-'03_Drivers'!$D$32))/H40)</f>
        <v>22.277411100972135</v>
      </c>
      <c r="I42" s="40">
        <f>IF(I40=0,0,(I6+ABS('05_IncStmt'!I14)*(1-'03_Drivers'!$D$32)+ABS('05_IncStmt'!I15)*(1-'03_Drivers'!$D$32))/I40)</f>
        <v>24.098069892169995</v>
      </c>
      <c r="J42" s="40">
        <f>IF(J40=0,0,(J6+ABS('05_IncStmt'!J14)*(1-'03_Drivers'!$D$32)+ABS('05_IncStmt'!J15)*(1-'03_Drivers'!$D$32))/J40)</f>
        <v>26.023735045002375</v>
      </c>
      <c r="K42" s="40">
        <f>IF(K40=0,0,(K6+ABS('05_IncStmt'!K14)*(1-'03_Drivers'!$D$32)+ABS('05_IncStmt'!K15)*(1-'03_Drivers'!$D$32))/K40)</f>
        <v>28.136570406925813</v>
      </c>
      <c r="L42" s="40">
        <f>IF(L40=0,0,(L6+ABS('05_IncStmt'!L14)*(1-'03_Drivers'!$D$32)+ABS('05_IncStmt'!L15)*(1-'03_Drivers'!$D$32))/L40)</f>
        <v>30.4401105156287</v>
      </c>
    </row>
    <row r="43" spans="1:12" ht="15" customHeight="1" x14ac:dyDescent="0.2">
      <c r="A43" t="s">
        <v>378</v>
      </c>
      <c r="D43" s="108">
        <f t="shared" ref="D43:L43" si="14">IF(D40=0,0,-D16/D40)</f>
        <v>4.1836734693877551</v>
      </c>
      <c r="E43" s="108">
        <f t="shared" si="14"/>
        <v>4.7278106508875739</v>
      </c>
      <c r="F43" s="108">
        <f t="shared" si="14"/>
        <v>5.3226797787338667</v>
      </c>
      <c r="G43" s="108">
        <f t="shared" si="14"/>
        <v>5.9569074778200246</v>
      </c>
      <c r="H43" s="108">
        <f t="shared" si="14"/>
        <v>6.4755700325732901</v>
      </c>
      <c r="I43" s="108">
        <f t="shared" si="14"/>
        <v>7.0395177494976551</v>
      </c>
      <c r="J43" s="108">
        <f t="shared" si="14"/>
        <v>7.6288659793814437</v>
      </c>
      <c r="K43" s="108">
        <f t="shared" si="14"/>
        <v>8.28169014084507</v>
      </c>
      <c r="L43" s="108">
        <f t="shared" si="14"/>
        <v>8.9963898916967509</v>
      </c>
    </row>
    <row r="44" spans="1:12" x14ac:dyDescent="0.2">
      <c r="A44" t="s">
        <v>379</v>
      </c>
    </row>
    <row r="45" spans="1:12" ht="15" customHeight="1" x14ac:dyDescent="0.2">
      <c r="A45" t="s">
        <v>380</v>
      </c>
    </row>
    <row r="46" spans="1:12" ht="15" customHeight="1" x14ac:dyDescent="0.2">
      <c r="A46" t="s">
        <v>381</v>
      </c>
      <c r="B46">
        <v>1250</v>
      </c>
    </row>
    <row r="47" spans="1:12" ht="15" customHeight="1" x14ac:dyDescent="0.2">
      <c r="A47" t="s">
        <v>382</v>
      </c>
      <c r="D47" t="str">
        <f>IF(D30&lt;='03_Drivers'!$D$38,"BINDING","OK")</f>
        <v>OK</v>
      </c>
      <c r="E47" t="str">
        <f>IF(E30&lt;='03_Drivers'!$D$38,"BINDING","OK")</f>
        <v>OK</v>
      </c>
      <c r="F47" t="str">
        <f>IF(F30&lt;='03_Drivers'!$D$38,"BINDING","OK")</f>
        <v>BINDING</v>
      </c>
      <c r="G47" t="str">
        <f>IF(G30&lt;='03_Drivers'!$D$38,"BINDING","OK")</f>
        <v>BINDING</v>
      </c>
      <c r="H47" t="str">
        <f>IF(H30&lt;='03_Drivers'!$D$38,"BINDING","OK")</f>
        <v>BINDING</v>
      </c>
      <c r="I47" t="str">
        <f>IF(I30&lt;='03_Drivers'!$D$38,"BINDING","OK")</f>
        <v>BINDING</v>
      </c>
      <c r="J47" t="str">
        <f>IF(J30&lt;='03_Drivers'!$D$38,"BINDING","OK")</f>
        <v>BINDING</v>
      </c>
      <c r="K47" t="str">
        <f>IF(K30&lt;='03_Drivers'!$D$38,"BINDING","OK")</f>
        <v>BINDING</v>
      </c>
      <c r="L47" t="str">
        <f>IF(L30&lt;='03_Drivers'!$D$38,"BINDING","OK")</f>
        <v>BINDING</v>
      </c>
    </row>
    <row r="48" spans="1:12" ht="15" customHeight="1" x14ac:dyDescent="0.2">
      <c r="A48" t="s">
        <v>383</v>
      </c>
      <c r="D48">
        <f>D30+$B$46-'03_Drivers'!$D$38</f>
        <v>2474</v>
      </c>
      <c r="E48">
        <f>E30+$B$46-'03_Drivers'!$D$38</f>
        <v>1724</v>
      </c>
      <c r="F48">
        <f>F30+$B$46-'03_Drivers'!$D$38</f>
        <v>1250</v>
      </c>
      <c r="G48">
        <f>G30+$B$46-'03_Drivers'!$D$38</f>
        <v>1250</v>
      </c>
      <c r="H48">
        <f>H30+$B$46-'03_Drivers'!$D$38</f>
        <v>1250</v>
      </c>
      <c r="I48">
        <f>I30+$B$46-'03_Drivers'!$D$38</f>
        <v>1250</v>
      </c>
      <c r="J48">
        <f>J30+$B$46-'03_Drivers'!$D$38</f>
        <v>1250</v>
      </c>
      <c r="K48">
        <f>K30+$B$46-'03_Drivers'!$D$38</f>
        <v>1250</v>
      </c>
      <c r="L48">
        <f>L30+$B$46-'03_Drivers'!$D$38</f>
        <v>1250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472C4"/>
  </sheetPr>
  <dimension ref="A1:N34"/>
  <sheetViews>
    <sheetView zoomScaleNormal="100" workbookViewId="0"/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5" ht="17.25" customHeight="1" x14ac:dyDescent="0.2">
      <c r="A1" s="17" t="s">
        <v>384</v>
      </c>
    </row>
    <row r="2" spans="1:5" ht="15" customHeight="1" x14ac:dyDescent="0.2">
      <c r="A2" s="18" t="s">
        <v>385</v>
      </c>
    </row>
    <row r="4" spans="1:5" ht="17.25" customHeight="1" x14ac:dyDescent="0.2">
      <c r="A4" s="109" t="s">
        <v>386</v>
      </c>
      <c r="B4" s="110">
        <v>1</v>
      </c>
    </row>
    <row r="6" spans="1:5" ht="15" customHeight="1" x14ac:dyDescent="0.2">
      <c r="A6" s="19" t="s">
        <v>387</v>
      </c>
      <c r="B6" s="19" t="s">
        <v>14</v>
      </c>
      <c r="C6" s="19" t="s">
        <v>12</v>
      </c>
      <c r="D6" s="19" t="s">
        <v>16</v>
      </c>
      <c r="E6" s="19" t="s">
        <v>388</v>
      </c>
    </row>
    <row r="7" spans="1:5" ht="15" customHeight="1" x14ac:dyDescent="0.2">
      <c r="A7" s="6" t="s">
        <v>389</v>
      </c>
      <c r="B7" s="25">
        <v>0.02</v>
      </c>
      <c r="C7" s="25">
        <v>0.02</v>
      </c>
      <c r="D7" s="25">
        <v>0.02</v>
      </c>
      <c r="E7" s="45">
        <f t="shared" ref="E7:E28" si="0">CHOOSE($B$4,B7,C7,D7)</f>
        <v>0.02</v>
      </c>
    </row>
    <row r="8" spans="1:5" ht="15" customHeight="1" x14ac:dyDescent="0.2">
      <c r="A8" s="6" t="s">
        <v>390</v>
      </c>
      <c r="B8" s="25">
        <v>0.03</v>
      </c>
      <c r="C8" s="25">
        <v>0.02</v>
      </c>
      <c r="D8" s="25">
        <v>3.5000000000000003E-2</v>
      </c>
      <c r="E8" s="45">
        <f t="shared" si="0"/>
        <v>0.03</v>
      </c>
    </row>
    <row r="9" spans="1:5" ht="15" customHeight="1" x14ac:dyDescent="0.2">
      <c r="A9" s="6" t="s">
        <v>391</v>
      </c>
      <c r="B9" s="86">
        <v>0.75</v>
      </c>
      <c r="C9" s="86">
        <v>0.75</v>
      </c>
      <c r="D9" s="86">
        <v>0.75</v>
      </c>
      <c r="E9" s="40">
        <f t="shared" si="0"/>
        <v>0.75</v>
      </c>
    </row>
    <row r="10" spans="1:5" ht="15" customHeight="1" x14ac:dyDescent="0.2">
      <c r="A10" s="6" t="s">
        <v>392</v>
      </c>
      <c r="B10" s="25">
        <v>0.04</v>
      </c>
      <c r="C10" s="25">
        <v>0.04</v>
      </c>
      <c r="D10" s="25">
        <v>0.04</v>
      </c>
      <c r="E10" s="45">
        <f t="shared" si="0"/>
        <v>0.04</v>
      </c>
    </row>
    <row r="11" spans="1:5" ht="15" customHeight="1" x14ac:dyDescent="0.2">
      <c r="A11" s="6" t="s">
        <v>393</v>
      </c>
      <c r="B11" s="111">
        <v>0</v>
      </c>
      <c r="C11" s="111">
        <v>1</v>
      </c>
      <c r="D11" s="111">
        <v>0</v>
      </c>
      <c r="E11" s="112">
        <f t="shared" si="0"/>
        <v>0</v>
      </c>
    </row>
    <row r="12" spans="1:5" ht="15" customHeight="1" x14ac:dyDescent="0.2">
      <c r="A12" s="6" t="s">
        <v>394</v>
      </c>
      <c r="B12" s="25">
        <v>0.08</v>
      </c>
      <c r="C12" s="25">
        <v>0.08</v>
      </c>
      <c r="D12" s="25">
        <v>0.08</v>
      </c>
      <c r="E12" s="45">
        <f t="shared" si="0"/>
        <v>0.08</v>
      </c>
    </row>
    <row r="13" spans="1:5" ht="15" customHeight="1" x14ac:dyDescent="0.2">
      <c r="A13" s="6" t="s">
        <v>395</v>
      </c>
      <c r="B13" s="25">
        <v>7.0000000000000007E-2</v>
      </c>
      <c r="C13" s="25">
        <v>0.06</v>
      </c>
      <c r="D13" s="25">
        <v>7.4999999999999997E-2</v>
      </c>
      <c r="E13" s="45">
        <f t="shared" si="0"/>
        <v>7.0000000000000007E-2</v>
      </c>
    </row>
    <row r="14" spans="1:5" ht="15" customHeight="1" x14ac:dyDescent="0.2">
      <c r="A14" s="6" t="s">
        <v>396</v>
      </c>
      <c r="B14" s="25">
        <v>7.4999999999999997E-3</v>
      </c>
      <c r="C14" s="25">
        <v>0</v>
      </c>
      <c r="D14" s="25">
        <v>1.4999999999999999E-2</v>
      </c>
      <c r="E14" s="45">
        <f t="shared" si="0"/>
        <v>7.4999999999999997E-3</v>
      </c>
    </row>
    <row r="15" spans="1:5" ht="15" customHeight="1" x14ac:dyDescent="0.2">
      <c r="A15" s="6" t="s">
        <v>397</v>
      </c>
      <c r="B15" s="25">
        <v>0</v>
      </c>
      <c r="C15" s="25">
        <v>-0.01</v>
      </c>
      <c r="D15" s="25">
        <v>0</v>
      </c>
      <c r="E15" s="45">
        <f t="shared" si="0"/>
        <v>0</v>
      </c>
    </row>
    <row r="16" spans="1:5" ht="15" customHeight="1" x14ac:dyDescent="0.2">
      <c r="A16" s="6" t="s">
        <v>398</v>
      </c>
      <c r="B16" s="25">
        <v>0.5</v>
      </c>
      <c r="C16" s="25">
        <v>0.47</v>
      </c>
      <c r="D16" s="25">
        <v>0.52</v>
      </c>
      <c r="E16" s="45">
        <f t="shared" si="0"/>
        <v>0.5</v>
      </c>
    </row>
    <row r="17" spans="1:14" ht="15" customHeight="1" x14ac:dyDescent="0.2">
      <c r="A17" s="6" t="s">
        <v>399</v>
      </c>
      <c r="B17" s="25">
        <v>0.57999999999999996</v>
      </c>
      <c r="C17" s="25">
        <v>0.55000000000000004</v>
      </c>
      <c r="D17" s="25">
        <v>0.6</v>
      </c>
      <c r="E17" s="45">
        <f t="shared" si="0"/>
        <v>0.57999999999999996</v>
      </c>
    </row>
    <row r="18" spans="1:14" ht="15" customHeight="1" x14ac:dyDescent="0.2">
      <c r="A18" s="6" t="s">
        <v>400</v>
      </c>
      <c r="B18" s="25">
        <v>0.34</v>
      </c>
      <c r="C18" s="25">
        <v>0.3</v>
      </c>
      <c r="D18" s="25">
        <v>0.36</v>
      </c>
      <c r="E18" s="45">
        <f t="shared" si="0"/>
        <v>0.34</v>
      </c>
    </row>
    <row r="19" spans="1:14" ht="15" customHeight="1" x14ac:dyDescent="0.2">
      <c r="A19" s="6" t="s">
        <v>195</v>
      </c>
      <c r="B19" s="25">
        <v>0.22</v>
      </c>
      <c r="C19" s="25">
        <v>0.23</v>
      </c>
      <c r="D19" s="25">
        <v>0.21</v>
      </c>
      <c r="E19" s="45">
        <f t="shared" si="0"/>
        <v>0.22</v>
      </c>
    </row>
    <row r="20" spans="1:14" ht="15" customHeight="1" x14ac:dyDescent="0.2">
      <c r="A20" s="6" t="s">
        <v>6</v>
      </c>
      <c r="B20" s="25">
        <v>2.5000000000000001E-2</v>
      </c>
      <c r="C20" s="25">
        <v>0.02</v>
      </c>
      <c r="D20" s="25">
        <v>0.03</v>
      </c>
      <c r="E20" s="45">
        <f t="shared" si="0"/>
        <v>2.5000000000000001E-2</v>
      </c>
    </row>
    <row r="21" spans="1:14" ht="15" customHeight="1" x14ac:dyDescent="0.2">
      <c r="A21" s="6" t="s">
        <v>199</v>
      </c>
      <c r="B21" s="26">
        <v>32</v>
      </c>
      <c r="C21" s="26">
        <v>35</v>
      </c>
      <c r="D21" s="26">
        <v>30</v>
      </c>
      <c r="E21" s="113">
        <f t="shared" si="0"/>
        <v>32</v>
      </c>
    </row>
    <row r="22" spans="1:14" ht="15" customHeight="1" x14ac:dyDescent="0.2">
      <c r="A22" s="6" t="s">
        <v>401</v>
      </c>
      <c r="B22" s="114">
        <v>1.75</v>
      </c>
      <c r="C22" s="114">
        <v>1.5</v>
      </c>
      <c r="D22" s="114">
        <v>2</v>
      </c>
      <c r="E22" s="65">
        <f t="shared" si="0"/>
        <v>1.75</v>
      </c>
    </row>
    <row r="23" spans="1:14" ht="15" customHeight="1" x14ac:dyDescent="0.2">
      <c r="A23" s="6" t="s">
        <v>402</v>
      </c>
      <c r="B23" s="114">
        <v>2.5</v>
      </c>
      <c r="C23" s="114">
        <v>2.25</v>
      </c>
      <c r="D23" s="114">
        <v>2.75</v>
      </c>
      <c r="E23" s="65">
        <f t="shared" si="0"/>
        <v>2.5</v>
      </c>
    </row>
    <row r="24" spans="1:14" ht="15" customHeight="1" x14ac:dyDescent="0.2">
      <c r="A24" s="6" t="s">
        <v>201</v>
      </c>
      <c r="B24" s="22">
        <v>1000</v>
      </c>
      <c r="C24" s="22">
        <v>1200</v>
      </c>
      <c r="D24" s="22">
        <v>800</v>
      </c>
      <c r="E24" s="53">
        <f t="shared" si="0"/>
        <v>1000</v>
      </c>
    </row>
    <row r="25" spans="1:14" ht="15" customHeight="1" x14ac:dyDescent="0.2">
      <c r="A25" s="6" t="s">
        <v>202</v>
      </c>
      <c r="B25" s="22">
        <v>500</v>
      </c>
      <c r="C25" s="22">
        <v>300</v>
      </c>
      <c r="D25" s="22">
        <v>700</v>
      </c>
      <c r="E25" s="53">
        <f t="shared" si="0"/>
        <v>500</v>
      </c>
    </row>
    <row r="26" spans="1:14" ht="15" customHeight="1" x14ac:dyDescent="0.2">
      <c r="A26" s="6" t="s">
        <v>198</v>
      </c>
      <c r="B26" s="25">
        <v>0.3</v>
      </c>
      <c r="C26" s="25">
        <v>0.32</v>
      </c>
      <c r="D26" s="25">
        <v>0.28000000000000003</v>
      </c>
      <c r="E26" s="45">
        <f t="shared" si="0"/>
        <v>0.3</v>
      </c>
    </row>
    <row r="27" spans="1:14" ht="15" customHeight="1" x14ac:dyDescent="0.2">
      <c r="A27" s="6" t="s">
        <v>196</v>
      </c>
      <c r="B27" s="25">
        <v>3.1E-2</v>
      </c>
      <c r="C27" s="25">
        <v>3.3000000000000002E-2</v>
      </c>
      <c r="D27" s="25">
        <v>2.9000000000000001E-2</v>
      </c>
      <c r="E27" s="45">
        <f t="shared" si="0"/>
        <v>3.1E-2</v>
      </c>
    </row>
    <row r="28" spans="1:14" ht="15" customHeight="1" x14ac:dyDescent="0.2">
      <c r="A28" s="6" t="s">
        <v>197</v>
      </c>
      <c r="B28" s="25">
        <v>4.4999999999999998E-2</v>
      </c>
      <c r="C28" s="25">
        <v>0.05</v>
      </c>
      <c r="D28" s="25">
        <v>0.04</v>
      </c>
      <c r="E28" s="45">
        <f t="shared" si="0"/>
        <v>4.4999999999999998E-2</v>
      </c>
    </row>
    <row r="30" spans="1:14" ht="15" customHeight="1" x14ac:dyDescent="0.2">
      <c r="A30" t="s">
        <v>403</v>
      </c>
      <c r="F30" t="s">
        <v>404</v>
      </c>
      <c r="G30" t="s">
        <v>405</v>
      </c>
      <c r="H30" t="s">
        <v>406</v>
      </c>
      <c r="I30" t="s">
        <v>407</v>
      </c>
      <c r="J30" t="s">
        <v>408</v>
      </c>
      <c r="K30" t="s">
        <v>409</v>
      </c>
      <c r="L30" t="s">
        <v>410</v>
      </c>
      <c r="M30" t="s">
        <v>411</v>
      </c>
      <c r="N30" t="s">
        <v>412</v>
      </c>
    </row>
    <row r="31" spans="1:14" ht="15" customHeight="1" x14ac:dyDescent="0.2">
      <c r="A31" t="s">
        <v>413</v>
      </c>
      <c r="F31">
        <v>500</v>
      </c>
      <c r="G31">
        <v>500</v>
      </c>
      <c r="H31">
        <v>500</v>
      </c>
      <c r="I31">
        <v>300</v>
      </c>
      <c r="J31">
        <v>300</v>
      </c>
      <c r="K31">
        <v>300</v>
      </c>
      <c r="L31">
        <v>0</v>
      </c>
      <c r="M31">
        <v>0</v>
      </c>
      <c r="N31">
        <v>0</v>
      </c>
    </row>
    <row r="32" spans="1:14" ht="15" customHeight="1" x14ac:dyDescent="0.2">
      <c r="A32" t="s">
        <v>414</v>
      </c>
      <c r="F32">
        <v>300</v>
      </c>
      <c r="G32">
        <v>300</v>
      </c>
      <c r="H32">
        <v>300</v>
      </c>
      <c r="I32">
        <v>200</v>
      </c>
      <c r="J32">
        <v>200</v>
      </c>
      <c r="K32">
        <v>200</v>
      </c>
      <c r="L32">
        <v>0</v>
      </c>
      <c r="M32">
        <v>0</v>
      </c>
      <c r="N32">
        <v>0</v>
      </c>
    </row>
    <row r="33" spans="1:14" ht="15" customHeight="1" x14ac:dyDescent="0.2">
      <c r="A33" t="s">
        <v>415</v>
      </c>
      <c r="F33">
        <v>700</v>
      </c>
      <c r="G33">
        <v>700</v>
      </c>
      <c r="H33">
        <v>700</v>
      </c>
      <c r="I33">
        <v>500</v>
      </c>
      <c r="J33">
        <v>500</v>
      </c>
      <c r="K33">
        <v>500</v>
      </c>
      <c r="L33">
        <v>300</v>
      </c>
      <c r="M33">
        <v>300</v>
      </c>
      <c r="N33">
        <v>300</v>
      </c>
    </row>
    <row r="34" spans="1:14" ht="15" customHeight="1" x14ac:dyDescent="0.2">
      <c r="A34" t="s">
        <v>416</v>
      </c>
      <c r="F34">
        <f t="shared" ref="F34:N34" si="1">CHOOSE($B$4,F31,F32,F33)</f>
        <v>500</v>
      </c>
      <c r="G34">
        <f t="shared" si="1"/>
        <v>500</v>
      </c>
      <c r="H34">
        <f t="shared" si="1"/>
        <v>500</v>
      </c>
      <c r="I34">
        <f t="shared" si="1"/>
        <v>300</v>
      </c>
      <c r="J34">
        <f t="shared" si="1"/>
        <v>300</v>
      </c>
      <c r="K34">
        <f t="shared" si="1"/>
        <v>300</v>
      </c>
      <c r="L34">
        <f t="shared" si="1"/>
        <v>0</v>
      </c>
      <c r="M34">
        <f t="shared" si="1"/>
        <v>0</v>
      </c>
      <c r="N34">
        <f t="shared" si="1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D7D31"/>
  </sheetPr>
  <dimension ref="A1:J50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4" ht="17.25" customHeight="1" x14ac:dyDescent="0.2">
      <c r="A1" s="17" t="s">
        <v>417</v>
      </c>
    </row>
    <row r="2" spans="1:4" ht="15" customHeight="1" x14ac:dyDescent="0.2">
      <c r="A2" s="18" t="s">
        <v>418</v>
      </c>
    </row>
    <row r="4" spans="1:4" ht="15" customHeight="1" x14ac:dyDescent="0.2">
      <c r="B4" s="19" t="s">
        <v>404</v>
      </c>
      <c r="C4" s="19" t="s">
        <v>405</v>
      </c>
      <c r="D4" s="19" t="s">
        <v>406</v>
      </c>
    </row>
    <row r="5" spans="1:4" ht="15" customHeight="1" x14ac:dyDescent="0.2">
      <c r="A5" s="20" t="s">
        <v>419</v>
      </c>
    </row>
    <row r="6" spans="1:4" ht="15" customHeight="1" x14ac:dyDescent="0.2">
      <c r="A6" s="21" t="s">
        <v>420</v>
      </c>
      <c r="B6" s="22">
        <v>7692</v>
      </c>
      <c r="C6" s="22">
        <v>8302</v>
      </c>
      <c r="D6" s="22">
        <v>8948</v>
      </c>
    </row>
    <row r="7" spans="1:4" ht="15" customHeight="1" x14ac:dyDescent="0.2">
      <c r="A7" s="21" t="s">
        <v>148</v>
      </c>
      <c r="B7" s="22">
        <v>4102</v>
      </c>
      <c r="C7" s="22">
        <v>4387</v>
      </c>
      <c r="D7" s="22">
        <v>4697</v>
      </c>
    </row>
    <row r="8" spans="1:4" ht="15" customHeight="1" x14ac:dyDescent="0.2">
      <c r="A8" s="21" t="s">
        <v>149</v>
      </c>
      <c r="B8" s="22">
        <v>3594</v>
      </c>
      <c r="C8" s="22">
        <v>3897</v>
      </c>
      <c r="D8" s="22">
        <v>4218</v>
      </c>
    </row>
    <row r="9" spans="1:4" ht="15" customHeight="1" x14ac:dyDescent="0.2">
      <c r="A9" s="21" t="s">
        <v>273</v>
      </c>
      <c r="B9" s="22">
        <v>3900</v>
      </c>
      <c r="C9" s="22">
        <v>4279</v>
      </c>
      <c r="D9" s="22">
        <v>4660</v>
      </c>
    </row>
    <row r="10" spans="1:4" ht="15" customHeight="1" x14ac:dyDescent="0.2">
      <c r="A10" s="21" t="s">
        <v>377</v>
      </c>
      <c r="B10" s="23">
        <v>14.72</v>
      </c>
      <c r="C10" s="23">
        <v>16.47</v>
      </c>
      <c r="D10" s="23">
        <v>18.47</v>
      </c>
    </row>
    <row r="12" spans="1:4" ht="15" customHeight="1" x14ac:dyDescent="0.2">
      <c r="A12" s="20" t="s">
        <v>421</v>
      </c>
    </row>
    <row r="13" spans="1:4" ht="15" customHeight="1" x14ac:dyDescent="0.2">
      <c r="A13" s="21" t="s">
        <v>420</v>
      </c>
      <c r="B13" s="56">
        <f>'04_Revenue'!D11</f>
        <v>7695.0779999999995</v>
      </c>
      <c r="C13" s="56">
        <f>'04_Revenue'!E11</f>
        <v>8378.6479075000007</v>
      </c>
      <c r="D13" s="56">
        <f>'04_Revenue'!F11</f>
        <v>9122.9527343312511</v>
      </c>
    </row>
    <row r="14" spans="1:4" ht="15" customHeight="1" x14ac:dyDescent="0.2">
      <c r="A14" s="21" t="s">
        <v>148</v>
      </c>
      <c r="B14" s="56">
        <f>'04_Revenue'!D5</f>
        <v>4100.2330000000002</v>
      </c>
      <c r="C14" s="56">
        <f>'04_Revenue'!E5</f>
        <v>4469.2539700000007</v>
      </c>
      <c r="D14" s="56">
        <f>'04_Revenue'!F5</f>
        <v>4871.4868273000011</v>
      </c>
    </row>
    <row r="15" spans="1:4" ht="15" customHeight="1" x14ac:dyDescent="0.2">
      <c r="A15" s="21" t="s">
        <v>149</v>
      </c>
      <c r="B15" s="56">
        <f>'04_Revenue'!D8</f>
        <v>3594.8449999999998</v>
      </c>
      <c r="C15" s="56">
        <f>'04_Revenue'!E8</f>
        <v>3909.3939374999995</v>
      </c>
      <c r="D15" s="56">
        <f>'04_Revenue'!F8</f>
        <v>4251.4659070312491</v>
      </c>
    </row>
    <row r="16" spans="1:4" ht="15" customHeight="1" x14ac:dyDescent="0.2">
      <c r="A16" s="21" t="s">
        <v>273</v>
      </c>
      <c r="B16" s="56">
        <f>'05_IncStmt'!D10</f>
        <v>3728.4433099999997</v>
      </c>
      <c r="C16" s="56">
        <f>'05_IncStmt'!E10</f>
        <v>4043.5779333468754</v>
      </c>
      <c r="D16" s="56">
        <f>'05_IncStmt'!F10</f>
        <v>4385.2193787408905</v>
      </c>
    </row>
    <row r="17" spans="1:4" ht="15" customHeight="1" x14ac:dyDescent="0.2">
      <c r="A17" t="s">
        <v>377</v>
      </c>
      <c r="B17" s="115">
        <f>'10_CapAlloc'!D42</f>
        <v>14.785934216326529</v>
      </c>
      <c r="C17" s="115">
        <f>'10_CapAlloc'!E42</f>
        <v>16.577722376374041</v>
      </c>
      <c r="D17" s="115">
        <f>'10_CapAlloc'!F42</f>
        <v>18.526355982186629</v>
      </c>
    </row>
    <row r="18" spans="1:4" ht="15" customHeight="1" x14ac:dyDescent="0.2">
      <c r="A18" s="20" t="s">
        <v>422</v>
      </c>
    </row>
    <row r="19" spans="1:4" ht="15" customHeight="1" x14ac:dyDescent="0.2">
      <c r="A19" s="21" t="s">
        <v>420</v>
      </c>
      <c r="B19" s="45">
        <f t="shared" ref="B19:D22" si="0">IF(B6=0,0,B13/B6-1)</f>
        <v>4.0015600624010439E-4</v>
      </c>
      <c r="C19" s="45">
        <f t="shared" si="0"/>
        <v>9.2324629607323239E-3</v>
      </c>
      <c r="D19" s="45">
        <f t="shared" si="0"/>
        <v>1.9552160743322666E-2</v>
      </c>
    </row>
    <row r="20" spans="1:4" ht="15" customHeight="1" x14ac:dyDescent="0.2">
      <c r="A20" s="21" t="s">
        <v>148</v>
      </c>
      <c r="B20" s="45">
        <f t="shared" si="0"/>
        <v>-4.3076548025344774E-4</v>
      </c>
      <c r="C20" s="45">
        <f t="shared" si="0"/>
        <v>1.8749480282653552E-2</v>
      </c>
      <c r="D20" s="45">
        <f t="shared" si="0"/>
        <v>3.7148568724718167E-2</v>
      </c>
    </row>
    <row r="21" spans="1:4" ht="15" customHeight="1" x14ac:dyDescent="0.2">
      <c r="A21" s="21" t="s">
        <v>149</v>
      </c>
      <c r="B21" s="45">
        <f t="shared" si="0"/>
        <v>2.3511407902043757E-4</v>
      </c>
      <c r="C21" s="45">
        <f t="shared" si="0"/>
        <v>3.1803791377982282E-3</v>
      </c>
      <c r="D21" s="45">
        <f t="shared" si="0"/>
        <v>7.934069945767952E-3</v>
      </c>
    </row>
    <row r="22" spans="1:4" ht="15" customHeight="1" x14ac:dyDescent="0.2">
      <c r="A22" s="21" t="s">
        <v>273</v>
      </c>
      <c r="B22" s="45">
        <f t="shared" si="0"/>
        <v>-4.3988894871794915E-2</v>
      </c>
      <c r="C22" s="45">
        <f t="shared" si="0"/>
        <v>-5.5018010435411213E-2</v>
      </c>
      <c r="D22" s="45">
        <f t="shared" si="0"/>
        <v>-5.8965798553456961E-2</v>
      </c>
    </row>
    <row r="23" spans="1:4" ht="15" customHeight="1" x14ac:dyDescent="0.2">
      <c r="A23" t="s">
        <v>377</v>
      </c>
      <c r="B23" s="45">
        <f>IF(B10=0,0,(B17-B10)/B10)</f>
        <v>4.4792266526174334E-3</v>
      </c>
      <c r="C23" s="45">
        <f>IF(C10=0,0,(C17-C10)/C10)</f>
        <v>6.5405207270213747E-3</v>
      </c>
      <c r="D23" s="45">
        <f>IF(D10=0,0,(D17-D10)/D10)</f>
        <v>3.0512172272133529E-3</v>
      </c>
    </row>
    <row r="25" spans="1:4" ht="15" customHeight="1" x14ac:dyDescent="0.2">
      <c r="A25" s="50" t="s">
        <v>423</v>
      </c>
    </row>
    <row r="26" spans="1:4" ht="15" customHeight="1" x14ac:dyDescent="0.2">
      <c r="A26" s="51" t="s">
        <v>424</v>
      </c>
      <c r="B26" s="116" t="str">
        <f>'03_Drivers'!B9</f>
        <v>PASS</v>
      </c>
    </row>
    <row r="28" spans="1:4" ht="15" customHeight="1" x14ac:dyDescent="0.2">
      <c r="A28" s="16" t="s">
        <v>336</v>
      </c>
    </row>
    <row r="29" spans="1:4" ht="15" customHeight="1" x14ac:dyDescent="0.2">
      <c r="A29" s="51" t="s">
        <v>425</v>
      </c>
      <c r="B29" s="117">
        <f>'09_WACC'!B6</f>
        <v>1.06</v>
      </c>
    </row>
    <row r="30" spans="1:4" ht="15" customHeight="1" x14ac:dyDescent="0.2">
      <c r="A30" s="51" t="s">
        <v>347</v>
      </c>
      <c r="B30" s="96">
        <v>0.88</v>
      </c>
    </row>
    <row r="31" spans="1:4" ht="15" customHeight="1" x14ac:dyDescent="0.2">
      <c r="A31" s="51" t="s">
        <v>426</v>
      </c>
      <c r="B31" s="118">
        <v>1.0900000000000001</v>
      </c>
    </row>
    <row r="32" spans="1:4" ht="15" customHeight="1" x14ac:dyDescent="0.2">
      <c r="A32" s="58" t="s">
        <v>427</v>
      </c>
      <c r="B32" s="96">
        <f>'09_WACC'!B15</f>
        <v>8.6480000000000001E-2</v>
      </c>
    </row>
    <row r="33" spans="1:10" ht="15" customHeight="1" x14ac:dyDescent="0.2">
      <c r="A33" t="s">
        <v>428</v>
      </c>
      <c r="B33" s="5">
        <f>'08_DFCF'!B35</f>
        <v>366.02891528096467</v>
      </c>
    </row>
    <row r="34" spans="1:10" ht="15" customHeight="1" x14ac:dyDescent="0.2">
      <c r="A34" t="s">
        <v>8</v>
      </c>
      <c r="B34" s="84">
        <f>'08_DFCF'!B55</f>
        <v>13.155370001868294</v>
      </c>
    </row>
    <row r="36" spans="1:10" ht="15" customHeight="1" x14ac:dyDescent="0.2">
      <c r="A36" s="16" t="s">
        <v>429</v>
      </c>
    </row>
    <row r="37" spans="1:10" ht="15" customHeight="1" x14ac:dyDescent="0.2">
      <c r="A37" t="s">
        <v>430</v>
      </c>
      <c r="B37" s="84">
        <f>'08_DFCF'!B55</f>
        <v>13.155370001868294</v>
      </c>
      <c r="C37" t="s">
        <v>431</v>
      </c>
    </row>
    <row r="38" spans="1:10" ht="15" customHeight="1" x14ac:dyDescent="0.2">
      <c r="A38" t="s">
        <v>432</v>
      </c>
      <c r="B38" s="84">
        <f>'08_DFCF'!B58</f>
        <v>15.10067490132305</v>
      </c>
      <c r="C38" t="s">
        <v>431</v>
      </c>
    </row>
    <row r="39" spans="1:10" ht="15" customHeight="1" x14ac:dyDescent="0.2">
      <c r="A39" t="s">
        <v>433</v>
      </c>
      <c r="B39" t="s">
        <v>434</v>
      </c>
      <c r="C39" t="s">
        <v>435</v>
      </c>
    </row>
    <row r="41" spans="1:10" ht="15" customHeight="1" x14ac:dyDescent="0.2">
      <c r="A41" t="s">
        <v>436</v>
      </c>
    </row>
    <row r="42" spans="1:10" ht="15" customHeight="1" x14ac:dyDescent="0.2">
      <c r="A42" t="s">
        <v>295</v>
      </c>
      <c r="B42" s="96">
        <f>'08_DFCF'!B37</f>
        <v>0.62229912242784646</v>
      </c>
      <c r="C42" t="s">
        <v>437</v>
      </c>
    </row>
    <row r="43" spans="1:10" ht="15" customHeight="1" x14ac:dyDescent="0.2">
      <c r="A43" t="s">
        <v>438</v>
      </c>
      <c r="B43" t="s">
        <v>439</v>
      </c>
    </row>
    <row r="44" spans="1:10" ht="15" customHeight="1" x14ac:dyDescent="0.2">
      <c r="A44" t="s">
        <v>440</v>
      </c>
      <c r="B44">
        <f>'08_DFCF'!L14*(1+'03_Drivers'!$D$40)/('09_WACC'!B15+0.005-'03_Drivers'!$D$40)/('08_DFCF'!L14*(1+'03_Drivers'!$D$40)/('09_WACC'!B15+0.005-'03_Drivers'!$D$40)+'08_DFCF'!B29)</f>
        <v>0.75512687370673992</v>
      </c>
    </row>
    <row r="45" spans="1:10" ht="15" customHeight="1" x14ac:dyDescent="0.2">
      <c r="A45" t="s">
        <v>441</v>
      </c>
      <c r="B45">
        <f>'08_DFCF'!L14*(1+'03_Drivers'!$D$40)/('09_WACC'!B15-0.005-'03_Drivers'!$D$40)/('08_DFCF'!L14*(1+'03_Drivers'!$D$40)/('09_WACC'!B15-0.005-'03_Drivers'!$D$40)+'08_DFCF'!B29)</f>
        <v>0.78400499559308356</v>
      </c>
    </row>
    <row r="47" spans="1:10" ht="15" customHeight="1" x14ac:dyDescent="0.2">
      <c r="A47" t="s">
        <v>442</v>
      </c>
    </row>
    <row r="48" spans="1:10" ht="15" customHeight="1" x14ac:dyDescent="0.2">
      <c r="A48" t="s">
        <v>443</v>
      </c>
      <c r="B48" s="119">
        <f>'10_CapAlloc'!D10</f>
        <v>-99</v>
      </c>
      <c r="C48" s="119">
        <f>'10_CapAlloc'!E10</f>
        <v>-88</v>
      </c>
      <c r="D48" s="119">
        <f>'10_CapAlloc'!F10</f>
        <v>-92</v>
      </c>
      <c r="E48" s="119">
        <f>'10_CapAlloc'!G10</f>
        <v>-99</v>
      </c>
      <c r="F48" s="119">
        <f>'10_CapAlloc'!H10</f>
        <v>-74</v>
      </c>
      <c r="G48" s="119">
        <f>'10_CapAlloc'!I10</f>
        <v>-79</v>
      </c>
      <c r="H48" s="119">
        <f>'10_CapAlloc'!J10</f>
        <v>-82</v>
      </c>
      <c r="I48" s="119">
        <f>'10_CapAlloc'!K10</f>
        <v>-89</v>
      </c>
      <c r="J48" s="119">
        <f>'10_CapAlloc'!L10</f>
        <v>-94</v>
      </c>
    </row>
    <row r="49" spans="1:10" ht="15" customHeight="1" x14ac:dyDescent="0.2">
      <c r="A49" t="s">
        <v>444</v>
      </c>
      <c r="B49">
        <f>-(('06_BS'!D7+'06_BS'!D8-'06_BS'!D18-'06_BS'!D20)-('06_BS'!C7+'06_BS'!C8-'06_BS'!C18-'06_BS'!C20))</f>
        <v>-99</v>
      </c>
      <c r="C49">
        <f>-(('06_BS'!E7+'06_BS'!E8-'06_BS'!E18-'06_BS'!E20)-('06_BS'!D7+'06_BS'!D8-'06_BS'!D18-'06_BS'!D20))</f>
        <v>-88</v>
      </c>
      <c r="D49">
        <f>-(('06_BS'!F7+'06_BS'!F8-'06_BS'!F18-'06_BS'!F20)-('06_BS'!E7+'06_BS'!E8-'06_BS'!E18-'06_BS'!E20))</f>
        <v>-92</v>
      </c>
      <c r="E49">
        <f>-(('06_BS'!G7+'06_BS'!G8-'06_BS'!G18-'06_BS'!G20)-('06_BS'!F7+'06_BS'!F8-'06_BS'!F18-'06_BS'!F20))</f>
        <v>-99</v>
      </c>
      <c r="F49">
        <f>-(('06_BS'!H7+'06_BS'!H8-'06_BS'!H18-'06_BS'!H20)-('06_BS'!G7+'06_BS'!G8-'06_BS'!G18-'06_BS'!G20))</f>
        <v>-74</v>
      </c>
      <c r="G49">
        <f>-(('06_BS'!I7+'06_BS'!I8-'06_BS'!I18-'06_BS'!I20)-('06_BS'!H7+'06_BS'!H8-'06_BS'!H18-'06_BS'!H20))</f>
        <v>-79</v>
      </c>
      <c r="H49">
        <f>-(('06_BS'!J7+'06_BS'!J8-'06_BS'!J18-'06_BS'!J20)-('06_BS'!I7+'06_BS'!I8-'06_BS'!I18-'06_BS'!I20))</f>
        <v>-82</v>
      </c>
      <c r="I49">
        <f>-(('06_BS'!K7+'06_BS'!K8-'06_BS'!K18-'06_BS'!K20)-('06_BS'!J7+'06_BS'!J8-'06_BS'!J18-'06_BS'!J20))</f>
        <v>-89</v>
      </c>
      <c r="J49">
        <f>-(('06_BS'!L7+'06_BS'!L8-'06_BS'!L18-'06_BS'!L20)-('06_BS'!K7+'06_BS'!K8-'06_BS'!K18-'06_BS'!K20))</f>
        <v>-94</v>
      </c>
    </row>
    <row r="50" spans="1:10" ht="15" customHeight="1" x14ac:dyDescent="0.2">
      <c r="A50" t="s">
        <v>445</v>
      </c>
      <c r="B50">
        <f t="shared" ref="B50:J50" si="1">B48-B49</f>
        <v>0</v>
      </c>
      <c r="C50">
        <f t="shared" si="1"/>
        <v>0</v>
      </c>
      <c r="D50">
        <f t="shared" si="1"/>
        <v>0</v>
      </c>
      <c r="E50">
        <f t="shared" si="1"/>
        <v>0</v>
      </c>
      <c r="F50">
        <f t="shared" si="1"/>
        <v>0</v>
      </c>
      <c r="G50">
        <f t="shared" si="1"/>
        <v>0</v>
      </c>
      <c r="H50">
        <f t="shared" si="1"/>
        <v>0</v>
      </c>
      <c r="I50">
        <f t="shared" si="1"/>
        <v>0</v>
      </c>
      <c r="J50">
        <f t="shared" si="1"/>
        <v>0</v>
      </c>
    </row>
  </sheetData>
  <conditionalFormatting sqref="B26">
    <cfRule type="cellIs" dxfId="3" priority="2" operator="equal">
      <formula>"PASS"</formula>
    </cfRule>
    <cfRule type="cellIs" dxfId="2" priority="3" operator="equal">
      <formula>"FAIL"</formula>
    </cfRule>
  </conditionalFormatting>
  <conditionalFormatting sqref="B29">
    <cfRule type="cellIs" dxfId="1" priority="4" operator="equal">
      <formula>"PASS"</formula>
    </cfRule>
    <cfRule type="cellIs" dxfId="0" priority="5" operator="equal">
      <formula>"FAIL"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5A5A5"/>
  </sheetPr>
  <dimension ref="A1:D23"/>
  <sheetViews>
    <sheetView zoomScaleNormal="100" workbookViewId="0"/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4" ht="17.25" customHeight="1" x14ac:dyDescent="0.2">
      <c r="A1" s="17" t="s">
        <v>446</v>
      </c>
    </row>
    <row r="2" spans="1:4" ht="15" customHeight="1" x14ac:dyDescent="0.2">
      <c r="A2" s="18" t="s">
        <v>447</v>
      </c>
    </row>
    <row r="4" spans="1:4" ht="15" customHeight="1" x14ac:dyDescent="0.2">
      <c r="A4" s="19" t="s">
        <v>448</v>
      </c>
      <c r="B4" s="19" t="s">
        <v>449</v>
      </c>
      <c r="C4" s="19" t="s">
        <v>450</v>
      </c>
      <c r="D4" s="19" t="s">
        <v>451</v>
      </c>
    </row>
    <row r="5" spans="1:4" ht="15" customHeight="1" x14ac:dyDescent="0.2">
      <c r="A5" s="6" t="s">
        <v>452</v>
      </c>
      <c r="B5" s="6" t="s">
        <v>453</v>
      </c>
      <c r="C5" s="22">
        <v>587</v>
      </c>
      <c r="D5" s="120" t="s">
        <v>454</v>
      </c>
    </row>
    <row r="6" spans="1:4" ht="15" customHeight="1" x14ac:dyDescent="0.2">
      <c r="A6" s="6" t="s">
        <v>455</v>
      </c>
      <c r="B6" s="6" t="s">
        <v>456</v>
      </c>
      <c r="C6" s="22">
        <v>500</v>
      </c>
      <c r="D6" s="120" t="s">
        <v>457</v>
      </c>
    </row>
    <row r="7" spans="1:4" ht="15" customHeight="1" x14ac:dyDescent="0.2">
      <c r="A7" s="6" t="s">
        <v>455</v>
      </c>
      <c r="B7" s="6" t="s">
        <v>458</v>
      </c>
      <c r="C7" s="22">
        <v>400</v>
      </c>
      <c r="D7" s="120" t="s">
        <v>459</v>
      </c>
    </row>
    <row r="8" spans="1:4" ht="15" customHeight="1" x14ac:dyDescent="0.2">
      <c r="A8" s="6" t="s">
        <v>460</v>
      </c>
      <c r="B8" s="6" t="s">
        <v>461</v>
      </c>
      <c r="C8" s="22">
        <v>881</v>
      </c>
      <c r="D8" s="120" t="s">
        <v>462</v>
      </c>
    </row>
    <row r="9" spans="1:4" ht="15" customHeight="1" x14ac:dyDescent="0.2">
      <c r="A9" s="6" t="s">
        <v>455</v>
      </c>
      <c r="B9" s="6" t="s">
        <v>463</v>
      </c>
      <c r="C9" s="22">
        <v>600</v>
      </c>
      <c r="D9" s="120" t="s">
        <v>464</v>
      </c>
    </row>
    <row r="10" spans="1:4" ht="15" customHeight="1" x14ac:dyDescent="0.2">
      <c r="A10" s="6" t="s">
        <v>455</v>
      </c>
      <c r="B10" s="6" t="s">
        <v>465</v>
      </c>
      <c r="C10" s="22">
        <v>500</v>
      </c>
      <c r="D10" s="120" t="s">
        <v>459</v>
      </c>
    </row>
    <row r="11" spans="1:4" ht="15" customHeight="1" x14ac:dyDescent="0.2">
      <c r="A11" s="6" t="s">
        <v>455</v>
      </c>
      <c r="B11" s="6" t="s">
        <v>466</v>
      </c>
      <c r="C11" s="22">
        <v>500</v>
      </c>
      <c r="D11" s="120" t="s">
        <v>467</v>
      </c>
    </row>
    <row r="12" spans="1:4" ht="15" customHeight="1" x14ac:dyDescent="0.2">
      <c r="A12" s="6" t="s">
        <v>455</v>
      </c>
      <c r="B12" s="6" t="s">
        <v>468</v>
      </c>
      <c r="C12" s="22">
        <v>500</v>
      </c>
      <c r="D12" s="120" t="s">
        <v>469</v>
      </c>
    </row>
    <row r="13" spans="1:4" ht="15" customHeight="1" x14ac:dyDescent="0.2">
      <c r="A13" s="6" t="s">
        <v>455</v>
      </c>
      <c r="B13" s="6" t="s">
        <v>470</v>
      </c>
      <c r="C13" s="22">
        <v>600</v>
      </c>
      <c r="D13" s="120" t="s">
        <v>471</v>
      </c>
    </row>
    <row r="14" spans="1:4" ht="15" customHeight="1" x14ac:dyDescent="0.2">
      <c r="A14" s="6" t="s">
        <v>455</v>
      </c>
      <c r="B14" s="6" t="s">
        <v>472</v>
      </c>
      <c r="C14" s="22">
        <v>700</v>
      </c>
      <c r="D14" s="120" t="s">
        <v>473</v>
      </c>
    </row>
    <row r="15" spans="1:4" ht="15" customHeight="1" x14ac:dyDescent="0.2">
      <c r="A15" s="6" t="s">
        <v>455</v>
      </c>
      <c r="B15" s="6" t="s">
        <v>474</v>
      </c>
      <c r="C15" s="22">
        <v>400</v>
      </c>
      <c r="D15" s="120" t="s">
        <v>475</v>
      </c>
    </row>
    <row r="16" spans="1:4" ht="15" customHeight="1" x14ac:dyDescent="0.2">
      <c r="A16" s="6" t="s">
        <v>455</v>
      </c>
      <c r="B16" s="6" t="s">
        <v>476</v>
      </c>
      <c r="C16" s="22">
        <v>300</v>
      </c>
      <c r="D16" s="120" t="s">
        <v>457</v>
      </c>
    </row>
    <row r="17" spans="1:4" ht="15" customHeight="1" x14ac:dyDescent="0.2">
      <c r="A17" s="6" t="s">
        <v>455</v>
      </c>
      <c r="B17" s="6" t="s">
        <v>477</v>
      </c>
      <c r="C17" s="22">
        <v>500</v>
      </c>
      <c r="D17" s="120" t="s">
        <v>478</v>
      </c>
    </row>
    <row r="18" spans="1:4" ht="15" customHeight="1" x14ac:dyDescent="0.2">
      <c r="A18" s="11" t="s">
        <v>479</v>
      </c>
      <c r="C18" s="53">
        <f>SUM(C5:C17)</f>
        <v>6968</v>
      </c>
    </row>
    <row r="19" spans="1:4" ht="15" customHeight="1" x14ac:dyDescent="0.2">
      <c r="A19" s="6" t="s">
        <v>480</v>
      </c>
      <c r="C19" s="22">
        <v>-185</v>
      </c>
    </row>
    <row r="20" spans="1:4" ht="15" customHeight="1" x14ac:dyDescent="0.2">
      <c r="A20" s="11" t="s">
        <v>481</v>
      </c>
      <c r="C20" s="53">
        <f>C18+C19</f>
        <v>6783</v>
      </c>
    </row>
    <row r="22" spans="1:4" ht="15" customHeight="1" x14ac:dyDescent="0.2">
      <c r="A22" s="6" t="s">
        <v>482</v>
      </c>
      <c r="B22" s="6" t="s">
        <v>483</v>
      </c>
      <c r="C22" s="22">
        <v>1250</v>
      </c>
      <c r="D22" s="116" t="s">
        <v>484</v>
      </c>
    </row>
    <row r="23" spans="1:4" ht="15" customHeight="1" x14ac:dyDescent="0.2">
      <c r="A23" s="121" t="s">
        <v>485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DC3E6"/>
  </sheetPr>
  <dimension ref="A1:L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27" t="s">
        <v>486</v>
      </c>
    </row>
    <row r="2" spans="1:12" ht="15" customHeight="1" x14ac:dyDescent="0.2">
      <c r="A2" s="28" t="s">
        <v>487</v>
      </c>
    </row>
    <row r="3" spans="1:12" ht="15" customHeight="1" x14ac:dyDescent="0.2">
      <c r="A3" s="58" t="s">
        <v>488</v>
      </c>
    </row>
    <row r="4" spans="1:12" ht="15" customHeight="1" x14ac:dyDescent="0.2">
      <c r="A4" s="29" t="s">
        <v>71</v>
      </c>
      <c r="B4" s="29" t="s">
        <v>72</v>
      </c>
      <c r="C4" s="29" t="s">
        <v>73</v>
      </c>
      <c r="D4" s="29" t="s">
        <v>160</v>
      </c>
      <c r="E4" s="29" t="s">
        <v>161</v>
      </c>
      <c r="F4" s="29" t="s">
        <v>162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  <c r="L4" s="29" t="s">
        <v>168</v>
      </c>
    </row>
    <row r="5" spans="1:12" ht="15" customHeight="1" x14ac:dyDescent="0.2">
      <c r="A5" s="6" t="s">
        <v>149</v>
      </c>
      <c r="B5" s="56">
        <f>'04_Revenue'!B8</f>
        <v>3056</v>
      </c>
      <c r="C5" s="56">
        <f>'04_Revenue'!C8</f>
        <v>3295</v>
      </c>
      <c r="D5" s="56">
        <f>'04_Revenue'!D8</f>
        <v>3594.8449999999998</v>
      </c>
      <c r="E5" s="56">
        <f>'04_Revenue'!E8</f>
        <v>3909.3939374999995</v>
      </c>
      <c r="F5" s="56">
        <f>'04_Revenue'!F8</f>
        <v>4251.4659070312491</v>
      </c>
      <c r="G5" s="56">
        <f>'04_Revenue'!G8</f>
        <v>4623.469173896483</v>
      </c>
      <c r="H5" s="56">
        <f>'04_Revenue'!H8</f>
        <v>4947.1120160692371</v>
      </c>
      <c r="I5" s="56">
        <f>'04_Revenue'!I8</f>
        <v>5293.409857194084</v>
      </c>
      <c r="J5" s="56">
        <f>'04_Revenue'!J8</f>
        <v>5663.9485471976705</v>
      </c>
      <c r="K5" s="56">
        <f>'04_Revenue'!K8</f>
        <v>6060.4249455015079</v>
      </c>
      <c r="L5" s="56">
        <f>'04_Revenue'!L8</f>
        <v>6484.6546916866137</v>
      </c>
    </row>
    <row r="6" spans="1:12" ht="15" customHeight="1" x14ac:dyDescent="0.2">
      <c r="A6" s="6" t="s">
        <v>489</v>
      </c>
      <c r="B6" s="25">
        <v>0.45200000000000001</v>
      </c>
      <c r="C6" s="25">
        <v>0.45900000000000002</v>
      </c>
      <c r="D6" s="25">
        <v>0.46</v>
      </c>
      <c r="E6" s="25">
        <v>0.46</v>
      </c>
      <c r="F6" s="25">
        <v>0.46</v>
      </c>
      <c r="G6" s="25">
        <v>0.46</v>
      </c>
      <c r="H6" s="25">
        <v>0.46</v>
      </c>
      <c r="I6" s="25">
        <v>0.46</v>
      </c>
      <c r="J6" s="25">
        <v>0.46</v>
      </c>
      <c r="K6" s="25">
        <v>0.46</v>
      </c>
      <c r="L6" s="25">
        <v>0.46</v>
      </c>
    </row>
    <row r="8" spans="1:12" ht="15" customHeight="1" x14ac:dyDescent="0.2">
      <c r="A8" s="31" t="s">
        <v>102</v>
      </c>
      <c r="B8" s="22">
        <v>1381</v>
      </c>
      <c r="C8" s="22">
        <v>1511</v>
      </c>
      <c r="D8" s="53">
        <f t="shared" ref="D8:L8" si="0">D5*D6</f>
        <v>1653.6287</v>
      </c>
      <c r="E8" s="53">
        <f t="shared" si="0"/>
        <v>1798.3212112499998</v>
      </c>
      <c r="F8" s="53">
        <f t="shared" si="0"/>
        <v>1955.6743172343747</v>
      </c>
      <c r="G8" s="53">
        <f t="shared" si="0"/>
        <v>2126.7958199923823</v>
      </c>
      <c r="H8" s="53">
        <f t="shared" si="0"/>
        <v>2275.6715273918494</v>
      </c>
      <c r="I8" s="53">
        <f t="shared" si="0"/>
        <v>2434.9685343092788</v>
      </c>
      <c r="J8" s="53">
        <f t="shared" si="0"/>
        <v>2605.4163317109287</v>
      </c>
      <c r="K8" s="53">
        <f t="shared" si="0"/>
        <v>2787.7954749306937</v>
      </c>
      <c r="L8" s="53">
        <f t="shared" si="0"/>
        <v>2982.9411581758422</v>
      </c>
    </row>
    <row r="9" spans="1:12" ht="15" customHeight="1" x14ac:dyDescent="0.2">
      <c r="A9" s="6" t="s">
        <v>490</v>
      </c>
      <c r="B9" s="22">
        <v>1316</v>
      </c>
      <c r="C9" s="22">
        <v>1454</v>
      </c>
      <c r="D9" s="53">
        <f t="shared" ref="D9:L9" si="1">ROUND(D8*0.962,0)</f>
        <v>1591</v>
      </c>
      <c r="E9" s="53">
        <f t="shared" si="1"/>
        <v>1730</v>
      </c>
      <c r="F9" s="53">
        <f t="shared" si="1"/>
        <v>1881</v>
      </c>
      <c r="G9" s="53">
        <f t="shared" si="1"/>
        <v>2046</v>
      </c>
      <c r="H9" s="53">
        <f t="shared" si="1"/>
        <v>2189</v>
      </c>
      <c r="I9" s="53">
        <f t="shared" si="1"/>
        <v>2342</v>
      </c>
      <c r="J9" s="53">
        <f t="shared" si="1"/>
        <v>2506</v>
      </c>
      <c r="K9" s="53">
        <f t="shared" si="1"/>
        <v>2682</v>
      </c>
      <c r="L9" s="53">
        <f t="shared" si="1"/>
        <v>2870</v>
      </c>
    </row>
    <row r="10" spans="1:12" ht="15" customHeight="1" x14ac:dyDescent="0.2">
      <c r="A10" s="6" t="s">
        <v>491</v>
      </c>
      <c r="B10" s="22">
        <v>65</v>
      </c>
      <c r="C10" s="22">
        <v>57</v>
      </c>
      <c r="D10" s="53">
        <f t="shared" ref="D10:L10" si="2">D8-D9</f>
        <v>62.628699999999981</v>
      </c>
      <c r="E10" s="53">
        <f t="shared" si="2"/>
        <v>68.321211249999806</v>
      </c>
      <c r="F10" s="53">
        <f t="shared" si="2"/>
        <v>74.674317234374712</v>
      </c>
      <c r="G10" s="53">
        <f t="shared" si="2"/>
        <v>80.795819992382349</v>
      </c>
      <c r="H10" s="53">
        <f t="shared" si="2"/>
        <v>86.671527391849395</v>
      </c>
      <c r="I10" s="53">
        <f t="shared" si="2"/>
        <v>92.968534309278766</v>
      </c>
      <c r="J10" s="53">
        <f t="shared" si="2"/>
        <v>99.416331710928716</v>
      </c>
      <c r="K10" s="53">
        <f t="shared" si="2"/>
        <v>105.79547493069367</v>
      </c>
      <c r="L10" s="53">
        <f t="shared" si="2"/>
        <v>112.94115817584225</v>
      </c>
    </row>
    <row r="12" spans="1:12" ht="15" customHeight="1" x14ac:dyDescent="0.2">
      <c r="A12" s="31" t="s">
        <v>492</v>
      </c>
      <c r="B12" s="61">
        <v>24</v>
      </c>
      <c r="C12" s="61">
        <v>154</v>
      </c>
      <c r="D12" s="57">
        <f t="shared" ref="D12:L12" si="3">D8-C8</f>
        <v>142.62869999999998</v>
      </c>
      <c r="E12" s="57">
        <f t="shared" si="3"/>
        <v>144.69251124999982</v>
      </c>
      <c r="F12" s="57">
        <f t="shared" si="3"/>
        <v>157.35310598437491</v>
      </c>
      <c r="G12" s="57">
        <f t="shared" si="3"/>
        <v>171.12150275800764</v>
      </c>
      <c r="H12" s="57">
        <f t="shared" si="3"/>
        <v>148.87570739946705</v>
      </c>
      <c r="I12" s="57">
        <f t="shared" si="3"/>
        <v>159.29700691742937</v>
      </c>
      <c r="J12" s="57">
        <f t="shared" si="3"/>
        <v>170.44779740164995</v>
      </c>
      <c r="K12" s="57">
        <f t="shared" si="3"/>
        <v>182.37914321976496</v>
      </c>
      <c r="L12" s="57">
        <f t="shared" si="3"/>
        <v>195.14568324514858</v>
      </c>
    </row>
    <row r="13" spans="1:12" ht="15" customHeight="1" x14ac:dyDescent="0.2">
      <c r="A13" s="28" t="s">
        <v>493</v>
      </c>
      <c r="B13" s="122">
        <f t="shared" ref="B13:L13" si="4">IF(B5=0,0,B8/B5)</f>
        <v>0.45189790575916228</v>
      </c>
      <c r="C13" s="122">
        <f t="shared" si="4"/>
        <v>0.45857359635811834</v>
      </c>
      <c r="D13" s="122">
        <f t="shared" si="4"/>
        <v>0.46</v>
      </c>
      <c r="E13" s="122">
        <f t="shared" si="4"/>
        <v>0.46</v>
      </c>
      <c r="F13" s="122">
        <f t="shared" si="4"/>
        <v>0.46</v>
      </c>
      <c r="G13" s="122">
        <f t="shared" si="4"/>
        <v>0.46</v>
      </c>
      <c r="H13" s="122">
        <f t="shared" si="4"/>
        <v>0.46000000000000008</v>
      </c>
      <c r="I13" s="122">
        <f t="shared" si="4"/>
        <v>0.46</v>
      </c>
      <c r="J13" s="122">
        <f t="shared" si="4"/>
        <v>0.46000000000000008</v>
      </c>
      <c r="K13" s="122">
        <f t="shared" si="4"/>
        <v>0.46</v>
      </c>
      <c r="L13" s="122">
        <f t="shared" si="4"/>
        <v>0.46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A5A5"/>
  </sheetPr>
  <dimension ref="A1:C61"/>
  <sheetViews>
    <sheetView zoomScaleNormal="100" workbookViewId="0"/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3" ht="17.25" customHeight="1" x14ac:dyDescent="0.2">
      <c r="A1" s="17" t="s">
        <v>69</v>
      </c>
    </row>
    <row r="2" spans="1:3" ht="15" customHeight="1" x14ac:dyDescent="0.2">
      <c r="A2" s="18" t="s">
        <v>70</v>
      </c>
    </row>
    <row r="4" spans="1:3" ht="15" customHeight="1" x14ac:dyDescent="0.2">
      <c r="A4" s="18" t="s">
        <v>71</v>
      </c>
      <c r="B4" s="19" t="s">
        <v>72</v>
      </c>
      <c r="C4" s="19" t="s">
        <v>73</v>
      </c>
    </row>
    <row r="5" spans="1:3" ht="15" customHeight="1" x14ac:dyDescent="0.2">
      <c r="A5" s="20" t="s">
        <v>74</v>
      </c>
    </row>
    <row r="6" spans="1:3" ht="15" customHeight="1" x14ac:dyDescent="0.2">
      <c r="A6" s="21" t="s">
        <v>75</v>
      </c>
      <c r="B6" s="22">
        <v>5916</v>
      </c>
      <c r="C6" s="22">
        <v>7088</v>
      </c>
    </row>
    <row r="7" spans="1:3" ht="15" customHeight="1" x14ac:dyDescent="0.2">
      <c r="A7" s="21" t="s">
        <v>76</v>
      </c>
      <c r="B7" s="22">
        <v>2860</v>
      </c>
      <c r="C7" s="22">
        <v>3793</v>
      </c>
    </row>
    <row r="8" spans="1:3" ht="15" customHeight="1" x14ac:dyDescent="0.2">
      <c r="A8" s="21" t="s">
        <v>77</v>
      </c>
      <c r="B8" s="22">
        <v>3056</v>
      </c>
      <c r="C8" s="22">
        <v>3295</v>
      </c>
    </row>
    <row r="9" spans="1:3" ht="15" customHeight="1" x14ac:dyDescent="0.2">
      <c r="A9" s="21" t="s">
        <v>78</v>
      </c>
      <c r="B9" s="22">
        <v>-3779</v>
      </c>
      <c r="C9" s="22">
        <v>-4213</v>
      </c>
    </row>
    <row r="10" spans="1:3" ht="15" customHeight="1" x14ac:dyDescent="0.2">
      <c r="A10" s="21" t="s">
        <v>79</v>
      </c>
      <c r="B10" s="22">
        <v>2137</v>
      </c>
      <c r="C10" s="22">
        <v>2875</v>
      </c>
    </row>
    <row r="11" spans="1:3" ht="15" customHeight="1" x14ac:dyDescent="0.2">
      <c r="A11" s="21" t="s">
        <v>80</v>
      </c>
      <c r="B11" s="22">
        <v>2597</v>
      </c>
      <c r="C11" s="22">
        <v>3408</v>
      </c>
    </row>
    <row r="12" spans="1:3" ht="15" customHeight="1" x14ac:dyDescent="0.2">
      <c r="A12" s="21" t="s">
        <v>81</v>
      </c>
      <c r="B12" s="22">
        <v>1660</v>
      </c>
      <c r="C12" s="22">
        <v>2394</v>
      </c>
    </row>
    <row r="13" spans="1:3" ht="15" customHeight="1" x14ac:dyDescent="0.2">
      <c r="A13" s="21" t="s">
        <v>82</v>
      </c>
      <c r="B13" s="22">
        <v>937</v>
      </c>
      <c r="C13" s="22">
        <v>1014</v>
      </c>
    </row>
    <row r="14" spans="1:3" ht="15" customHeight="1" x14ac:dyDescent="0.2">
      <c r="A14" s="21" t="s">
        <v>83</v>
      </c>
      <c r="B14" s="22">
        <v>-251</v>
      </c>
      <c r="C14" s="22">
        <v>-237</v>
      </c>
    </row>
    <row r="15" spans="1:3" ht="15" customHeight="1" x14ac:dyDescent="0.2">
      <c r="A15" s="21" t="s">
        <v>84</v>
      </c>
      <c r="B15" s="22">
        <v>1935</v>
      </c>
      <c r="C15" s="22">
        <v>2699</v>
      </c>
    </row>
    <row r="16" spans="1:3" ht="15" customHeight="1" x14ac:dyDescent="0.2">
      <c r="A16" s="21" t="s">
        <v>85</v>
      </c>
      <c r="B16" s="22">
        <v>-327</v>
      </c>
      <c r="C16" s="22">
        <v>-640</v>
      </c>
    </row>
    <row r="17" spans="1:3" ht="15" customHeight="1" x14ac:dyDescent="0.2">
      <c r="A17" s="21" t="s">
        <v>86</v>
      </c>
      <c r="B17" s="22">
        <v>1607</v>
      </c>
      <c r="C17" s="22">
        <v>2058</v>
      </c>
    </row>
    <row r="18" spans="1:3" ht="15" customHeight="1" x14ac:dyDescent="0.2">
      <c r="A18" s="21" t="s">
        <v>87</v>
      </c>
      <c r="B18" s="23">
        <v>8.73</v>
      </c>
      <c r="C18" s="23">
        <v>11.26</v>
      </c>
    </row>
    <row r="19" spans="1:3" ht="15" customHeight="1" x14ac:dyDescent="0.2">
      <c r="A19" s="21" t="s">
        <v>88</v>
      </c>
      <c r="B19" s="23">
        <v>9.9</v>
      </c>
      <c r="C19" s="23">
        <v>12.47</v>
      </c>
    </row>
    <row r="20" spans="1:3" ht="15" customHeight="1" x14ac:dyDescent="0.2">
      <c r="A20" s="21" t="s">
        <v>89</v>
      </c>
      <c r="B20" s="24">
        <v>184</v>
      </c>
      <c r="C20" s="24">
        <v>182.7</v>
      </c>
    </row>
    <row r="21" spans="1:3" ht="15" customHeight="1" x14ac:dyDescent="0.2">
      <c r="A21" s="21" t="s">
        <v>90</v>
      </c>
      <c r="B21" s="25">
        <v>0.16900000000000001</v>
      </c>
      <c r="C21" s="25">
        <v>0.23699999999999999</v>
      </c>
    </row>
    <row r="23" spans="1:3" ht="15" customHeight="1" x14ac:dyDescent="0.2">
      <c r="A23" s="20" t="s">
        <v>91</v>
      </c>
    </row>
    <row r="24" spans="1:3" ht="15" customHeight="1" x14ac:dyDescent="0.2">
      <c r="A24" s="21" t="s">
        <v>92</v>
      </c>
      <c r="B24" s="22">
        <v>210</v>
      </c>
      <c r="C24" s="22">
        <v>220</v>
      </c>
    </row>
    <row r="25" spans="1:3" ht="15" customHeight="1" x14ac:dyDescent="0.2">
      <c r="A25" s="21" t="s">
        <v>93</v>
      </c>
      <c r="B25" s="22">
        <v>198</v>
      </c>
      <c r="C25" s="22">
        <v>198</v>
      </c>
    </row>
    <row r="26" spans="1:3" ht="15" customHeight="1" x14ac:dyDescent="0.2">
      <c r="A26" s="21" t="s">
        <v>94</v>
      </c>
      <c r="B26" s="22">
        <v>373</v>
      </c>
      <c r="C26" s="22">
        <v>431</v>
      </c>
    </row>
    <row r="27" spans="1:3" ht="15" customHeight="1" x14ac:dyDescent="0.2">
      <c r="A27" s="21" t="s">
        <v>95</v>
      </c>
      <c r="B27" s="22">
        <v>67</v>
      </c>
      <c r="C27" s="22">
        <v>59</v>
      </c>
    </row>
    <row r="28" spans="1:3" ht="15" customHeight="1" x14ac:dyDescent="0.2">
      <c r="A28" s="21" t="s">
        <v>96</v>
      </c>
      <c r="B28" s="22">
        <v>0</v>
      </c>
      <c r="C28" s="22">
        <v>43</v>
      </c>
    </row>
    <row r="30" spans="1:3" ht="15" customHeight="1" x14ac:dyDescent="0.2">
      <c r="A30" s="20" t="s">
        <v>97</v>
      </c>
    </row>
    <row r="31" spans="1:3" ht="15" customHeight="1" x14ac:dyDescent="0.2">
      <c r="A31" s="21" t="s">
        <v>98</v>
      </c>
      <c r="B31" s="22">
        <v>2193</v>
      </c>
      <c r="C31" s="22">
        <v>2974</v>
      </c>
    </row>
    <row r="32" spans="1:3" ht="15" customHeight="1" x14ac:dyDescent="0.2">
      <c r="A32" s="21" t="s">
        <v>99</v>
      </c>
      <c r="B32" s="22">
        <v>14622</v>
      </c>
      <c r="C32" s="22">
        <v>15505</v>
      </c>
    </row>
    <row r="33" spans="1:3" ht="15" customHeight="1" x14ac:dyDescent="0.2">
      <c r="A33" s="21" t="s">
        <v>100</v>
      </c>
      <c r="B33" s="22">
        <v>1316</v>
      </c>
      <c r="C33" s="22">
        <v>1454</v>
      </c>
    </row>
    <row r="34" spans="1:3" ht="15" customHeight="1" x14ac:dyDescent="0.2">
      <c r="A34" s="21" t="s">
        <v>101</v>
      </c>
      <c r="B34" s="22">
        <v>65</v>
      </c>
      <c r="C34" s="22">
        <v>57</v>
      </c>
    </row>
    <row r="35" spans="1:3" ht="15" customHeight="1" x14ac:dyDescent="0.2">
      <c r="A35" s="21" t="s">
        <v>102</v>
      </c>
      <c r="B35" s="22">
        <v>1381</v>
      </c>
      <c r="C35" s="22">
        <v>1511</v>
      </c>
    </row>
    <row r="36" spans="1:3" ht="15" customHeight="1" x14ac:dyDescent="0.2">
      <c r="A36" s="21" t="s">
        <v>103</v>
      </c>
      <c r="B36" s="22">
        <v>7001</v>
      </c>
      <c r="C36" s="22">
        <v>6731</v>
      </c>
    </row>
    <row r="37" spans="1:3" ht="15" customHeight="1" x14ac:dyDescent="0.2">
      <c r="A37" s="21" t="s">
        <v>104</v>
      </c>
      <c r="B37" s="22">
        <v>0</v>
      </c>
      <c r="C37" s="22">
        <v>697</v>
      </c>
    </row>
    <row r="38" spans="1:3" ht="15" customHeight="1" x14ac:dyDescent="0.2">
      <c r="A38" s="21" t="s">
        <v>105</v>
      </c>
      <c r="B38" s="22">
        <v>7001</v>
      </c>
      <c r="C38" s="22">
        <v>7428</v>
      </c>
    </row>
    <row r="39" spans="1:3" ht="15" customHeight="1" x14ac:dyDescent="0.2">
      <c r="A39" s="21" t="s">
        <v>106</v>
      </c>
      <c r="B39" s="22">
        <v>4808</v>
      </c>
      <c r="C39" s="22">
        <v>4454</v>
      </c>
    </row>
    <row r="40" spans="1:3" ht="15" customHeight="1" x14ac:dyDescent="0.2">
      <c r="A40" s="21" t="s">
        <v>107</v>
      </c>
      <c r="B40" s="22">
        <v>3476</v>
      </c>
      <c r="C40" s="22">
        <v>3727</v>
      </c>
    </row>
    <row r="41" spans="1:3" ht="15" customHeight="1" x14ac:dyDescent="0.2">
      <c r="A41" s="21" t="s">
        <v>108</v>
      </c>
      <c r="B41" s="24">
        <v>182.5</v>
      </c>
      <c r="C41" s="24">
        <v>180.3</v>
      </c>
    </row>
    <row r="43" spans="1:3" ht="15" customHeight="1" x14ac:dyDescent="0.2">
      <c r="A43" s="20" t="s">
        <v>109</v>
      </c>
    </row>
    <row r="44" spans="1:3" ht="15" customHeight="1" x14ac:dyDescent="0.2">
      <c r="A44" s="21" t="s">
        <v>110</v>
      </c>
      <c r="B44" s="22">
        <v>2151</v>
      </c>
      <c r="C44" s="22">
        <v>2838</v>
      </c>
    </row>
    <row r="45" spans="1:3" ht="15" customHeight="1" x14ac:dyDescent="0.2">
      <c r="A45" s="21" t="s">
        <v>111</v>
      </c>
      <c r="B45" s="22">
        <v>-271</v>
      </c>
      <c r="C45" s="22">
        <v>-317</v>
      </c>
    </row>
    <row r="46" spans="1:3" ht="15" customHeight="1" x14ac:dyDescent="0.2">
      <c r="A46" s="21" t="s">
        <v>112</v>
      </c>
      <c r="B46" s="22">
        <v>1880</v>
      </c>
      <c r="C46" s="22">
        <v>2521</v>
      </c>
    </row>
    <row r="47" spans="1:3" ht="15" customHeight="1" x14ac:dyDescent="0.2">
      <c r="A47" s="21" t="s">
        <v>113</v>
      </c>
      <c r="B47" s="22">
        <v>-490</v>
      </c>
      <c r="C47" s="22">
        <v>-1292</v>
      </c>
    </row>
    <row r="48" spans="1:3" ht="15" customHeight="1" x14ac:dyDescent="0.2">
      <c r="A48" s="21" t="s">
        <v>114</v>
      </c>
      <c r="B48" s="22">
        <v>-564</v>
      </c>
      <c r="C48" s="22">
        <v>-620</v>
      </c>
    </row>
    <row r="49" spans="1:3" ht="15" customHeight="1" x14ac:dyDescent="0.2">
      <c r="A49" s="21" t="s">
        <v>115</v>
      </c>
      <c r="B49" s="22">
        <v>-500</v>
      </c>
      <c r="C49" s="22">
        <v>496</v>
      </c>
    </row>
    <row r="50" spans="1:3" ht="15" customHeight="1" x14ac:dyDescent="0.2">
      <c r="A50" s="21" t="s">
        <v>116</v>
      </c>
      <c r="B50" s="22">
        <v>24</v>
      </c>
      <c r="C50" s="22">
        <v>154</v>
      </c>
    </row>
    <row r="52" spans="1:3" ht="15" customHeight="1" x14ac:dyDescent="0.2">
      <c r="A52" s="20" t="s">
        <v>117</v>
      </c>
    </row>
    <row r="53" spans="1:3" ht="15" customHeight="1" x14ac:dyDescent="0.2">
      <c r="A53" s="21" t="s">
        <v>118</v>
      </c>
      <c r="B53" s="25">
        <v>8.2000000000000003E-2</v>
      </c>
      <c r="C53" s="25">
        <v>0.19800000000000001</v>
      </c>
    </row>
    <row r="54" spans="1:3" ht="15" customHeight="1" x14ac:dyDescent="0.2">
      <c r="A54" s="21" t="s">
        <v>119</v>
      </c>
      <c r="B54" s="25">
        <v>0.439</v>
      </c>
      <c r="C54" s="25">
        <v>0.48099999999999998</v>
      </c>
    </row>
    <row r="55" spans="1:3" ht="15" customHeight="1" x14ac:dyDescent="0.2">
      <c r="A55" s="21" t="s">
        <v>120</v>
      </c>
      <c r="B55" s="25">
        <v>0.58099999999999996</v>
      </c>
      <c r="C55" s="25">
        <v>0.60099999999999998</v>
      </c>
    </row>
    <row r="56" spans="1:3" ht="15" customHeight="1" x14ac:dyDescent="0.2">
      <c r="A56" s="21" t="s">
        <v>121</v>
      </c>
      <c r="B56" s="25">
        <v>0.307</v>
      </c>
      <c r="C56" s="25">
        <v>0.307</v>
      </c>
    </row>
    <row r="57" spans="1:3" ht="15" customHeight="1" x14ac:dyDescent="0.2">
      <c r="A57" s="21" t="s">
        <v>122</v>
      </c>
      <c r="B57" s="25">
        <v>1.17</v>
      </c>
      <c r="C57" s="25">
        <v>1.2250000000000001</v>
      </c>
    </row>
    <row r="58" spans="1:3" ht="15" customHeight="1" x14ac:dyDescent="0.2">
      <c r="A58" s="21" t="s">
        <v>123</v>
      </c>
      <c r="B58" s="25">
        <v>4.5999999999999999E-2</v>
      </c>
      <c r="C58" s="25">
        <v>4.4999999999999998E-2</v>
      </c>
    </row>
    <row r="59" spans="1:3" ht="15" customHeight="1" x14ac:dyDescent="0.2">
      <c r="A59" s="21" t="s">
        <v>124</v>
      </c>
      <c r="B59" s="25">
        <v>3.5999999999999997E-2</v>
      </c>
      <c r="C59" s="25">
        <v>3.1E-2</v>
      </c>
    </row>
    <row r="60" spans="1:3" ht="15" customHeight="1" x14ac:dyDescent="0.2">
      <c r="A60" s="21" t="s">
        <v>125</v>
      </c>
      <c r="B60" s="26">
        <v>1.62</v>
      </c>
      <c r="C60" s="26">
        <v>1.19</v>
      </c>
    </row>
    <row r="61" spans="1:3" ht="15" customHeight="1" x14ac:dyDescent="0.2">
      <c r="A61" s="21" t="s">
        <v>126</v>
      </c>
      <c r="B61" s="25">
        <v>0.35099999999999998</v>
      </c>
      <c r="C61" s="25">
        <v>0.30099999999999999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A5A5"/>
  </sheetPr>
  <dimension ref="A1:G32"/>
  <sheetViews>
    <sheetView zoomScaleNormal="100" workbookViewId="0"/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3" ht="17.25" customHeight="1" x14ac:dyDescent="0.2">
      <c r="A1" s="27" t="s">
        <v>127</v>
      </c>
    </row>
    <row r="2" spans="1:3" ht="15" customHeight="1" x14ac:dyDescent="0.2">
      <c r="A2" s="28" t="s">
        <v>128</v>
      </c>
    </row>
    <row r="4" spans="1:3" ht="15" customHeight="1" x14ac:dyDescent="0.2">
      <c r="A4" s="29"/>
      <c r="B4" s="29" t="s">
        <v>72</v>
      </c>
      <c r="C4" s="29" t="s">
        <v>73</v>
      </c>
    </row>
    <row r="5" spans="1:3" ht="15" customHeight="1" x14ac:dyDescent="0.2">
      <c r="A5" s="30" t="s">
        <v>129</v>
      </c>
    </row>
    <row r="6" spans="1:3" ht="15" customHeight="1" x14ac:dyDescent="0.2">
      <c r="A6" t="s">
        <v>130</v>
      </c>
      <c r="B6" s="22">
        <v>1404</v>
      </c>
      <c r="C6" s="22">
        <v>1950</v>
      </c>
    </row>
    <row r="7" spans="1:3" ht="15" customHeight="1" x14ac:dyDescent="0.2">
      <c r="A7" t="s">
        <v>131</v>
      </c>
      <c r="B7" s="22">
        <v>405</v>
      </c>
      <c r="C7" s="22">
        <v>518</v>
      </c>
    </row>
    <row r="8" spans="1:3" ht="15" customHeight="1" x14ac:dyDescent="0.2">
      <c r="A8" t="s">
        <v>132</v>
      </c>
      <c r="B8" s="22">
        <v>545</v>
      </c>
      <c r="C8" s="22">
        <v>727</v>
      </c>
    </row>
    <row r="9" spans="1:3" ht="15" customHeight="1" x14ac:dyDescent="0.2">
      <c r="A9" t="s">
        <v>133</v>
      </c>
      <c r="B9" s="22">
        <v>476</v>
      </c>
      <c r="C9" s="22">
        <v>564</v>
      </c>
    </row>
    <row r="10" spans="1:3" ht="15" customHeight="1" x14ac:dyDescent="0.2">
      <c r="A10" t="s">
        <v>134</v>
      </c>
      <c r="B10" s="22">
        <v>30</v>
      </c>
      <c r="C10" s="22">
        <v>34</v>
      </c>
    </row>
    <row r="11" spans="1:3" ht="15" customHeight="1" x14ac:dyDescent="0.2">
      <c r="A11" s="31" t="s">
        <v>135</v>
      </c>
      <c r="B11" s="32">
        <f>SUM(B6:B10)</f>
        <v>2860</v>
      </c>
      <c r="C11" s="32">
        <f>SUM(C6:C10)</f>
        <v>3793</v>
      </c>
    </row>
    <row r="13" spans="1:3" ht="15" customHeight="1" x14ac:dyDescent="0.2">
      <c r="A13" s="30" t="s">
        <v>136</v>
      </c>
    </row>
    <row r="14" spans="1:3" ht="15" customHeight="1" x14ac:dyDescent="0.2">
      <c r="A14" t="s">
        <v>137</v>
      </c>
      <c r="B14" s="22">
        <v>1638</v>
      </c>
      <c r="C14" s="22">
        <v>2517</v>
      </c>
    </row>
    <row r="15" spans="1:3" ht="15" customHeight="1" x14ac:dyDescent="0.2">
      <c r="A15" t="s">
        <v>138</v>
      </c>
      <c r="B15" s="22">
        <v>1222</v>
      </c>
      <c r="C15" s="22">
        <v>1276</v>
      </c>
    </row>
    <row r="17" spans="1:7" ht="15" customHeight="1" x14ac:dyDescent="0.2">
      <c r="A17" s="30" t="s">
        <v>139</v>
      </c>
    </row>
    <row r="18" spans="1:7" ht="15" customHeight="1" x14ac:dyDescent="0.2">
      <c r="A18" t="s">
        <v>140</v>
      </c>
      <c r="B18" s="22">
        <v>1383</v>
      </c>
      <c r="C18" s="22">
        <v>1516</v>
      </c>
    </row>
    <row r="19" spans="1:7" ht="15" customHeight="1" x14ac:dyDescent="0.2">
      <c r="A19" t="s">
        <v>141</v>
      </c>
      <c r="B19" s="22">
        <v>884</v>
      </c>
      <c r="C19" s="22">
        <v>926</v>
      </c>
    </row>
    <row r="20" spans="1:7" ht="15" customHeight="1" x14ac:dyDescent="0.2">
      <c r="A20" s="16" t="s">
        <v>142</v>
      </c>
      <c r="B20" s="22">
        <v>789</v>
      </c>
      <c r="C20" s="22">
        <v>853</v>
      </c>
    </row>
    <row r="21" spans="1:7" ht="15" customHeight="1" x14ac:dyDescent="0.2">
      <c r="A21" s="31" t="s">
        <v>143</v>
      </c>
      <c r="B21" s="32" t="s">
        <v>144</v>
      </c>
      <c r="C21" s="32" t="s">
        <v>145</v>
      </c>
      <c r="D21" t="s">
        <v>146</v>
      </c>
      <c r="E21" t="s">
        <v>147</v>
      </c>
      <c r="F21" t="s">
        <v>72</v>
      </c>
      <c r="G21" t="s">
        <v>73</v>
      </c>
    </row>
    <row r="22" spans="1:7" ht="15" customHeight="1" x14ac:dyDescent="0.2">
      <c r="A22" t="s">
        <v>148</v>
      </c>
      <c r="B22">
        <v>3873</v>
      </c>
      <c r="C22">
        <v>3292</v>
      </c>
      <c r="D22">
        <v>3870</v>
      </c>
      <c r="E22">
        <v>2690</v>
      </c>
      <c r="F22">
        <v>2860</v>
      </c>
      <c r="G22">
        <v>3793</v>
      </c>
    </row>
    <row r="23" spans="1:7" ht="15" customHeight="1" x14ac:dyDescent="0.2">
      <c r="A23" s="30" t="s">
        <v>149</v>
      </c>
      <c r="B23">
        <v>1863</v>
      </c>
      <c r="C23">
        <v>2079</v>
      </c>
      <c r="D23">
        <v>2406</v>
      </c>
      <c r="E23">
        <v>2789</v>
      </c>
      <c r="F23">
        <v>3066</v>
      </c>
      <c r="G23">
        <v>3295</v>
      </c>
    </row>
    <row r="24" spans="1:7" ht="15" customHeight="1" x14ac:dyDescent="0.2">
      <c r="A24" t="s">
        <v>75</v>
      </c>
      <c r="B24" s="22">
        <v>5736</v>
      </c>
      <c r="C24" s="22">
        <v>5371</v>
      </c>
      <c r="D24">
        <v>6276</v>
      </c>
      <c r="E24">
        <v>5479</v>
      </c>
      <c r="F24">
        <v>5926</v>
      </c>
      <c r="G24">
        <v>7088</v>
      </c>
    </row>
    <row r="25" spans="1:7" ht="15" customHeight="1" x14ac:dyDescent="0.2">
      <c r="A25" t="s">
        <v>138</v>
      </c>
      <c r="B25" s="22">
        <v>2868</v>
      </c>
      <c r="C25" s="22">
        <v>3134</v>
      </c>
    </row>
    <row r="26" spans="1:7" ht="15" customHeight="1" x14ac:dyDescent="0.2">
      <c r="A26" t="s">
        <v>150</v>
      </c>
      <c r="B26">
        <v>1833</v>
      </c>
      <c r="C26">
        <v>1954</v>
      </c>
      <c r="D26">
        <v>2601</v>
      </c>
      <c r="E26">
        <v>1342</v>
      </c>
      <c r="F26">
        <v>1557</v>
      </c>
      <c r="G26">
        <v>2299</v>
      </c>
    </row>
    <row r="27" spans="1:7" ht="15" customHeight="1" x14ac:dyDescent="0.2">
      <c r="A27" s="30" t="s">
        <v>151</v>
      </c>
      <c r="B27">
        <v>365</v>
      </c>
      <c r="C27">
        <v>424</v>
      </c>
      <c r="D27">
        <v>443</v>
      </c>
      <c r="E27">
        <v>541</v>
      </c>
      <c r="F27">
        <v>580</v>
      </c>
      <c r="G27">
        <v>576</v>
      </c>
    </row>
    <row r="28" spans="1:7" ht="15" customHeight="1" x14ac:dyDescent="0.2">
      <c r="A28" t="s">
        <v>152</v>
      </c>
      <c r="B28" s="22">
        <v>1290</v>
      </c>
      <c r="C28" s="22">
        <v>1448</v>
      </c>
    </row>
    <row r="29" spans="1:7" ht="15" customHeight="1" x14ac:dyDescent="0.2">
      <c r="A29" t="s">
        <v>153</v>
      </c>
      <c r="B29" s="22">
        <v>0.4733</v>
      </c>
      <c r="C29" s="22">
        <v>0.59360000000000002</v>
      </c>
      <c r="D29">
        <v>0.67210000000000003</v>
      </c>
      <c r="E29">
        <v>0.49890000000000001</v>
      </c>
      <c r="F29">
        <v>0.5444</v>
      </c>
      <c r="G29">
        <v>0.60609999999999997</v>
      </c>
    </row>
    <row r="30" spans="1:7" ht="15" customHeight="1" x14ac:dyDescent="0.2">
      <c r="A30" t="s">
        <v>154</v>
      </c>
      <c r="B30" s="22">
        <v>0.19589999999999999</v>
      </c>
      <c r="C30" s="22">
        <v>0.2039</v>
      </c>
      <c r="D30">
        <v>0.18410000000000001</v>
      </c>
      <c r="E30">
        <v>0.19400000000000001</v>
      </c>
      <c r="F30">
        <v>0.18920000000000001</v>
      </c>
      <c r="G30">
        <v>0.17480000000000001</v>
      </c>
    </row>
    <row r="31" spans="1:7" ht="15" customHeight="1" x14ac:dyDescent="0.2">
      <c r="A31" s="31" t="s">
        <v>155</v>
      </c>
      <c r="B31" s="32">
        <f>SUM(B28:B30)</f>
        <v>1290.6692</v>
      </c>
      <c r="C31" s="32">
        <f>SUM(C28:C30)</f>
        <v>1448.7974999999999</v>
      </c>
    </row>
    <row r="32" spans="1:7" ht="15" customHeight="1" x14ac:dyDescent="0.2">
      <c r="A32" t="s">
        <v>156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472C4"/>
  </sheetPr>
  <dimension ref="A1:M4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  <col min="13" max="13" width="65" customWidth="1"/>
  </cols>
  <sheetData>
    <row r="1" spans="1:13" ht="17.25" customHeight="1" x14ac:dyDescent="0.2">
      <c r="A1" s="17" t="s">
        <v>157</v>
      </c>
      <c r="M1" t="s">
        <v>158</v>
      </c>
    </row>
    <row r="2" spans="1:13" ht="15" customHeight="1" x14ac:dyDescent="0.2">
      <c r="A2" s="18" t="s">
        <v>159</v>
      </c>
    </row>
    <row r="4" spans="1:13" ht="15" customHeight="1" x14ac:dyDescent="0.2">
      <c r="A4" s="18" t="s">
        <v>71</v>
      </c>
      <c r="B4" s="33" t="s">
        <v>72</v>
      </c>
      <c r="C4" s="33" t="s">
        <v>73</v>
      </c>
      <c r="D4" s="33" t="s">
        <v>160</v>
      </c>
      <c r="E4" s="33" t="s">
        <v>161</v>
      </c>
      <c r="F4" s="33" t="s">
        <v>162</v>
      </c>
      <c r="G4" s="33" t="s">
        <v>163</v>
      </c>
      <c r="H4" s="33" t="s">
        <v>164</v>
      </c>
      <c r="I4" s="33" t="s">
        <v>165</v>
      </c>
      <c r="J4" s="33" t="s">
        <v>166</v>
      </c>
      <c r="K4" s="33" t="s">
        <v>167</v>
      </c>
      <c r="L4" s="33" t="s">
        <v>168</v>
      </c>
    </row>
    <row r="5" spans="1:13" ht="15" customHeight="1" x14ac:dyDescent="0.2">
      <c r="A5" s="20" t="s">
        <v>169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ht="15" customHeight="1" x14ac:dyDescent="0.2">
      <c r="A6" s="35" t="s">
        <v>170</v>
      </c>
      <c r="B6" s="36" t="s">
        <v>171</v>
      </c>
      <c r="C6" s="36" t="s">
        <v>171</v>
      </c>
      <c r="D6" s="37">
        <v>2.5</v>
      </c>
      <c r="E6" s="37">
        <v>5.78</v>
      </c>
      <c r="F6" s="37">
        <v>4.8899999999999997</v>
      </c>
      <c r="G6" s="37">
        <v>4.66</v>
      </c>
      <c r="H6" s="37">
        <v>3.92</v>
      </c>
      <c r="I6" s="37">
        <v>3.53</v>
      </c>
      <c r="J6" s="37">
        <v>3.21</v>
      </c>
      <c r="K6" s="37">
        <v>2.98</v>
      </c>
      <c r="L6" s="37">
        <v>2.75</v>
      </c>
    </row>
    <row r="7" spans="1:13" ht="15" customHeight="1" x14ac:dyDescent="0.2">
      <c r="A7" s="38" t="s">
        <v>172</v>
      </c>
      <c r="D7" s="39">
        <v>2.5</v>
      </c>
      <c r="E7" s="39">
        <v>5.78</v>
      </c>
      <c r="F7" s="39">
        <v>4.8899999999999997</v>
      </c>
      <c r="G7" s="39">
        <v>4.66</v>
      </c>
      <c r="H7" s="39">
        <v>3.92</v>
      </c>
      <c r="I7" s="39">
        <v>3.53</v>
      </c>
      <c r="J7" s="39">
        <v>3.21</v>
      </c>
      <c r="K7" s="39">
        <v>2.98</v>
      </c>
      <c r="L7" s="39">
        <v>2.75</v>
      </c>
    </row>
    <row r="8" spans="1:13" ht="15" customHeight="1" x14ac:dyDescent="0.2">
      <c r="A8" s="6" t="s">
        <v>173</v>
      </c>
      <c r="D8" s="40">
        <f t="shared" ref="D8:L8" si="0">D6-D7</f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</row>
    <row r="9" spans="1:13" ht="15" customHeight="1" x14ac:dyDescent="0.2">
      <c r="A9" s="31" t="s">
        <v>174</v>
      </c>
      <c r="B9" s="31" t="str">
        <f>IF(MAX(ABS(D8),ABS(E8),ABS(F8),ABS(G8),ABS(H8),ABS(I8),ABS(J8),ABS(K8),ABS(L8))&lt;0.01,"PASS","FAIL")</f>
        <v>PASS</v>
      </c>
      <c r="C9" s="41" t="s">
        <v>175</v>
      </c>
      <c r="D9" s="31" t="str">
        <f>IF(MAX(ABS(D8),ABS(E8),ABS(F8),ABS(G8),ABS(H8),ABS(I8),ABS(J8),ABS(K8),ABS(L8))&lt;0.01,"PASS","FAIL")</f>
        <v>PASS</v>
      </c>
    </row>
    <row r="11" spans="1:13" ht="15" customHeight="1" x14ac:dyDescent="0.2">
      <c r="A11" s="31" t="s">
        <v>176</v>
      </c>
      <c r="D11" s="42">
        <f t="shared" ref="D11:L11" si="1">D6</f>
        <v>2.5</v>
      </c>
      <c r="E11" s="42">
        <f t="shared" si="1"/>
        <v>5.78</v>
      </c>
      <c r="F11" s="42">
        <f t="shared" si="1"/>
        <v>4.8899999999999997</v>
      </c>
      <c r="G11" s="42">
        <f t="shared" si="1"/>
        <v>4.66</v>
      </c>
      <c r="H11" s="42">
        <f t="shared" si="1"/>
        <v>3.92</v>
      </c>
      <c r="I11" s="42">
        <f t="shared" si="1"/>
        <v>3.53</v>
      </c>
      <c r="J11" s="42">
        <f t="shared" si="1"/>
        <v>3.21</v>
      </c>
      <c r="K11" s="42">
        <f t="shared" si="1"/>
        <v>2.98</v>
      </c>
      <c r="L11" s="42">
        <f t="shared" si="1"/>
        <v>2.75</v>
      </c>
    </row>
    <row r="12" spans="1:13" ht="15" customHeight="1" x14ac:dyDescent="0.2">
      <c r="A12" s="21" t="s">
        <v>177</v>
      </c>
      <c r="D12" s="42">
        <f>D11</f>
        <v>2.5</v>
      </c>
      <c r="E12" s="42">
        <f>AVERAGE(D11:E11)</f>
        <v>4.1400000000000006</v>
      </c>
      <c r="F12" s="42">
        <f>AVERAGE(D11:F11)</f>
        <v>4.3900000000000006</v>
      </c>
      <c r="G12" s="42">
        <f>AVERAGE(D11:G11)</f>
        <v>4.4575000000000005</v>
      </c>
      <c r="H12" s="42">
        <f>AVERAGE(D11:H11)</f>
        <v>4.3499999999999996</v>
      </c>
      <c r="I12" s="42">
        <f>AVERAGE(E11:I11)</f>
        <v>4.556</v>
      </c>
      <c r="J12" s="42">
        <f>AVERAGE(F11:J11)</f>
        <v>4.0419999999999998</v>
      </c>
      <c r="K12" s="42">
        <f>AVERAGE(G11:K11)</f>
        <v>3.66</v>
      </c>
      <c r="L12" s="42">
        <f>AVERAGE(H11:L11)</f>
        <v>3.278</v>
      </c>
    </row>
    <row r="13" spans="1:13" ht="15" customHeight="1" x14ac:dyDescent="0.2">
      <c r="A13" s="21" t="s">
        <v>178</v>
      </c>
      <c r="D13" s="43">
        <f t="shared" ref="D13:L13" si="2">IF(D12=0,0,D11/D12)</f>
        <v>1</v>
      </c>
      <c r="E13" s="43">
        <f t="shared" si="2"/>
        <v>1.3961352657004829</v>
      </c>
      <c r="F13" s="43">
        <f t="shared" si="2"/>
        <v>1.113895216400911</v>
      </c>
      <c r="G13" s="43">
        <f t="shared" si="2"/>
        <v>1.0454290521592819</v>
      </c>
      <c r="H13" s="43">
        <f t="shared" si="2"/>
        <v>0.90114942528735642</v>
      </c>
      <c r="I13" s="43">
        <f t="shared" si="2"/>
        <v>0.77480245829675154</v>
      </c>
      <c r="J13" s="43">
        <f t="shared" si="2"/>
        <v>0.79416130628401782</v>
      </c>
      <c r="K13" s="43">
        <f t="shared" si="2"/>
        <v>0.81420765027322406</v>
      </c>
      <c r="L13" s="43">
        <f t="shared" si="2"/>
        <v>0.83892617449664431</v>
      </c>
    </row>
    <row r="14" spans="1:13" ht="15" customHeight="1" x14ac:dyDescent="0.2">
      <c r="A14" s="21"/>
      <c r="D14" s="40">
        <f>IF(D6=0,0,D6/D6)</f>
        <v>1</v>
      </c>
      <c r="E14" s="40">
        <f>IF(D6=0,0,E6/D6)</f>
        <v>2.3120000000000003</v>
      </c>
      <c r="F14" s="40">
        <f>IF(D6=0,0,F6/D6)</f>
        <v>1.956</v>
      </c>
      <c r="G14" s="40">
        <f>IF(D6=0,0,G6/D6)</f>
        <v>1.8640000000000001</v>
      </c>
      <c r="H14" s="40">
        <f>IF(D6=0,0,H6/D6)</f>
        <v>1.5680000000000001</v>
      </c>
      <c r="I14" s="40">
        <f>IF(D6=0,0,I6/D6)</f>
        <v>1.4119999999999999</v>
      </c>
      <c r="J14" s="40">
        <f>IF(D6=0,0,J6/D6)</f>
        <v>1.284</v>
      </c>
      <c r="K14" s="40">
        <f>IF(D6=0,0,K6/D6)</f>
        <v>1.1919999999999999</v>
      </c>
      <c r="L14" s="40">
        <f>IF(D6=0,0,L6/D6)</f>
        <v>1.1000000000000001</v>
      </c>
    </row>
    <row r="16" spans="1:13" ht="15" customHeight="1" x14ac:dyDescent="0.2">
      <c r="A16" s="44" t="s">
        <v>179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3" ht="15" customHeight="1" x14ac:dyDescent="0.2">
      <c r="A17" s="21" t="s">
        <v>180</v>
      </c>
      <c r="D17" s="45">
        <f>'11_Scenarios'!$E$9*(D13-1)</f>
        <v>0</v>
      </c>
      <c r="E17" s="45">
        <f>'11_Scenarios'!$E$9*(E13-1)</f>
        <v>0.29710144927536214</v>
      </c>
      <c r="F17" s="45">
        <f>'11_Scenarios'!$E$9*(F13-1)</f>
        <v>8.5421412300683286E-2</v>
      </c>
      <c r="G17" s="45">
        <f>'11_Scenarios'!$E$9*(G13-1)</f>
        <v>3.407178911946146E-2</v>
      </c>
      <c r="H17" s="45">
        <f>'11_Scenarios'!$E$9*(H13-1)</f>
        <v>-7.4137931034482685E-2</v>
      </c>
      <c r="I17" s="45">
        <f>'11_Scenarios'!$E$9*(I13-1)</f>
        <v>-0.16889815627743635</v>
      </c>
      <c r="J17" s="45">
        <f>'11_Scenarios'!$E$9*(J13-1)</f>
        <v>-0.15437902028698663</v>
      </c>
      <c r="K17" s="45">
        <f>'11_Scenarios'!$E$9*(K13-1)</f>
        <v>-0.13934426229508196</v>
      </c>
      <c r="L17" s="45">
        <f>'11_Scenarios'!$E$9*(L13-1)</f>
        <v>-0.12080536912751677</v>
      </c>
    </row>
    <row r="18" spans="1:13" ht="15" customHeight="1" x14ac:dyDescent="0.2">
      <c r="A18" s="21" t="s">
        <v>181</v>
      </c>
      <c r="D18" s="45">
        <f>MIN(MAX(D17,0),'11_Scenarios'!$E$10)</f>
        <v>0</v>
      </c>
      <c r="E18" s="45">
        <f>MIN(MAX(E17,0),'11_Scenarios'!$E$10)</f>
        <v>0.04</v>
      </c>
      <c r="F18" s="45">
        <f>MIN(MAX(F17,0),'11_Scenarios'!$E$10)</f>
        <v>0.04</v>
      </c>
      <c r="G18" s="45">
        <f>MIN(MAX(G17,0),'11_Scenarios'!$E$10)</f>
        <v>3.407178911946146E-2</v>
      </c>
      <c r="H18" s="45">
        <f>MIN(MAX(H17,0),'11_Scenarios'!$E$10)</f>
        <v>0</v>
      </c>
      <c r="I18" s="45">
        <f>MIN(MAX(I17,0),'11_Scenarios'!$E$10)</f>
        <v>0</v>
      </c>
      <c r="J18" s="45">
        <f>MIN(MAX(J17,0),'11_Scenarios'!$E$10)</f>
        <v>0</v>
      </c>
      <c r="K18" s="45">
        <f>MIN(MAX(K17,0),'11_Scenarios'!$E$10)</f>
        <v>0</v>
      </c>
      <c r="L18" s="45">
        <f>MIN(MAX(L17,0),'11_Scenarios'!$E$10)</f>
        <v>0</v>
      </c>
    </row>
    <row r="19" spans="1:13" ht="15" customHeight="1" x14ac:dyDescent="0.2">
      <c r="A19" s="35" t="s">
        <v>182</v>
      </c>
      <c r="D19" s="25">
        <v>8.1000000000000003E-2</v>
      </c>
      <c r="E19" s="45">
        <f>IF('11_Scenarios'!$E$11=1,0,'11_Scenarios'!$E$7+E18+'11_Scenarios'!$E$8)</f>
        <v>0.09</v>
      </c>
      <c r="F19" s="45">
        <f>'11_Scenarios'!$E$7+F18+'11_Scenarios'!$E$8</f>
        <v>0.09</v>
      </c>
      <c r="G19" s="45">
        <f>'11_Scenarios'!$E$7+G18+'11_Scenarios'!$E$8</f>
        <v>8.4071789119461462E-2</v>
      </c>
      <c r="H19" s="45">
        <f>'11_Scenarios'!$E$7+H18+'11_Scenarios'!$E$8</f>
        <v>0.05</v>
      </c>
      <c r="I19" s="45">
        <f>'11_Scenarios'!$E$7+I18+'11_Scenarios'!$E$8</f>
        <v>0.05</v>
      </c>
      <c r="J19" s="45">
        <f>'11_Scenarios'!$E$7+J18+'11_Scenarios'!$E$8</f>
        <v>0.05</v>
      </c>
      <c r="K19" s="45">
        <f>'11_Scenarios'!$E$7+K18+'11_Scenarios'!$E$8</f>
        <v>0.05</v>
      </c>
      <c r="L19" s="45">
        <f>'11_Scenarios'!$E$7+L18+'11_Scenarios'!$E$8</f>
        <v>0.05</v>
      </c>
    </row>
    <row r="20" spans="1:13" ht="15" customHeight="1" x14ac:dyDescent="0.2"/>
    <row r="21" spans="1:13" ht="15" customHeight="1" x14ac:dyDescent="0.2">
      <c r="A21" s="44" t="s">
        <v>183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3" ht="15" customHeight="1" x14ac:dyDescent="0.2">
      <c r="A22" s="21" t="s">
        <v>184</v>
      </c>
      <c r="D22" s="25">
        <v>9.0999999999999998E-2</v>
      </c>
      <c r="E22" s="45">
        <f>'11_Scenarios'!$E$12</f>
        <v>0.08</v>
      </c>
      <c r="F22" s="45">
        <f>'11_Scenarios'!$E$12</f>
        <v>0.08</v>
      </c>
      <c r="G22" s="45">
        <f>'11_Scenarios'!$E$12</f>
        <v>0.08</v>
      </c>
      <c r="H22" s="45">
        <f>'11_Scenarios'!$E$13</f>
        <v>7.0000000000000007E-2</v>
      </c>
      <c r="I22" s="45">
        <f>'11_Scenarios'!$E$13</f>
        <v>7.0000000000000007E-2</v>
      </c>
      <c r="J22" s="45">
        <f>'11_Scenarios'!$E$13</f>
        <v>7.0000000000000007E-2</v>
      </c>
      <c r="K22" s="45">
        <f>'11_Scenarios'!$E$13</f>
        <v>7.0000000000000007E-2</v>
      </c>
      <c r="L22" s="45">
        <f>'11_Scenarios'!$E$13</f>
        <v>7.0000000000000007E-2</v>
      </c>
    </row>
    <row r="23" spans="1:13" ht="15" customHeight="1" x14ac:dyDescent="0.2">
      <c r="A23" s="21" t="s">
        <v>185</v>
      </c>
      <c r="E23" s="45">
        <f>'11_Scenarios'!$E$14</f>
        <v>7.4999999999999997E-3</v>
      </c>
      <c r="F23" s="45">
        <f>'11_Scenarios'!$E$14</f>
        <v>7.4999999999999997E-3</v>
      </c>
      <c r="G23" s="45">
        <f>'11_Scenarios'!$E$14</f>
        <v>7.4999999999999997E-3</v>
      </c>
    </row>
    <row r="24" spans="1:13" ht="15" customHeight="1" x14ac:dyDescent="0.2">
      <c r="A24" s="21" t="s">
        <v>186</v>
      </c>
      <c r="E24" s="45">
        <f>'11_Scenarios'!$E$15</f>
        <v>0</v>
      </c>
      <c r="F24" s="45">
        <f>'11_Scenarios'!$E$15</f>
        <v>0</v>
      </c>
      <c r="G24" s="45">
        <f>'11_Scenarios'!$E$15</f>
        <v>0</v>
      </c>
    </row>
    <row r="25" spans="1:13" ht="15" customHeight="1" x14ac:dyDescent="0.2">
      <c r="A25" s="35" t="s">
        <v>187</v>
      </c>
      <c r="D25" s="25">
        <v>9.0999999999999998E-2</v>
      </c>
      <c r="E25" s="45">
        <f t="shared" ref="E25:L25" si="3">E22+E23+E24</f>
        <v>8.7499999999999994E-2</v>
      </c>
      <c r="F25" s="45">
        <f t="shared" si="3"/>
        <v>8.7499999999999994E-2</v>
      </c>
      <c r="G25" s="45">
        <f t="shared" si="3"/>
        <v>8.7499999999999994E-2</v>
      </c>
      <c r="H25" s="45">
        <f t="shared" si="3"/>
        <v>7.0000000000000007E-2</v>
      </c>
      <c r="I25" s="45">
        <f t="shared" si="3"/>
        <v>7.0000000000000007E-2</v>
      </c>
      <c r="J25" s="45">
        <f t="shared" si="3"/>
        <v>7.0000000000000007E-2</v>
      </c>
      <c r="K25" s="45">
        <f t="shared" si="3"/>
        <v>7.0000000000000007E-2</v>
      </c>
      <c r="L25" s="45">
        <f t="shared" si="3"/>
        <v>7.0000000000000007E-2</v>
      </c>
    </row>
    <row r="26" spans="1:13" ht="15" customHeight="1" x14ac:dyDescent="0.2"/>
    <row r="27" spans="1:13" ht="15" customHeight="1" x14ac:dyDescent="0.2">
      <c r="A27" s="44" t="s">
        <v>188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t="s">
        <v>189</v>
      </c>
    </row>
    <row r="28" spans="1:13" ht="15" customHeight="1" x14ac:dyDescent="0.2">
      <c r="A28" s="21" t="s">
        <v>190</v>
      </c>
      <c r="B28" s="25">
        <v>0.58099999999999996</v>
      </c>
      <c r="C28" s="25">
        <v>0.60099999999999998</v>
      </c>
      <c r="D28" s="25">
        <v>0.62</v>
      </c>
      <c r="E28" s="25">
        <f>D28+('11_Scenarios'!$E$17-D28)/8</f>
        <v>0.61499999999999999</v>
      </c>
      <c r="F28" s="25">
        <f>E28+('11_Scenarios'!$E$17-E28)/7</f>
        <v>0.61</v>
      </c>
      <c r="G28" s="25">
        <f>F28+('11_Scenarios'!$E$17-F28)/6</f>
        <v>0.60499999999999998</v>
      </c>
      <c r="H28" s="25">
        <f>G28+('11_Scenarios'!$E$17-G28)/5</f>
        <v>0.6</v>
      </c>
      <c r="I28" s="25">
        <f>H28+('11_Scenarios'!$E$17-H28)/4</f>
        <v>0.59499999999999997</v>
      </c>
      <c r="J28" s="25">
        <f>I28+('11_Scenarios'!$E$17-I28)/3</f>
        <v>0.59</v>
      </c>
      <c r="K28" s="25">
        <f>J28+('11_Scenarios'!$E$17-J28)/2</f>
        <v>0.58499999999999996</v>
      </c>
      <c r="L28" s="25">
        <f>'11_Scenarios'!$E$17</f>
        <v>0.57999999999999996</v>
      </c>
      <c r="M28" t="s">
        <v>191</v>
      </c>
    </row>
    <row r="29" spans="1:13" ht="15" customHeight="1" x14ac:dyDescent="0.2">
      <c r="A29" s="21" t="s">
        <v>192</v>
      </c>
      <c r="B29" s="25">
        <v>0.307</v>
      </c>
      <c r="C29" s="25">
        <v>0.307</v>
      </c>
      <c r="D29" s="25">
        <v>0.33</v>
      </c>
      <c r="E29" s="45">
        <f>D29+('11_Scenarios'!$E$18-D29)/8</f>
        <v>0.33125000000000004</v>
      </c>
      <c r="F29" s="45">
        <f>E29+('11_Scenarios'!$E$18-E29)/7</f>
        <v>0.33250000000000002</v>
      </c>
      <c r="G29" s="45">
        <f>F29+('11_Scenarios'!$E$18-F29)/6</f>
        <v>0.33374999999999999</v>
      </c>
      <c r="H29" s="45">
        <f>G29+('11_Scenarios'!$E$18-G29)/5</f>
        <v>0.33500000000000002</v>
      </c>
      <c r="I29" s="45">
        <f>H29+('11_Scenarios'!$E$18-H29)/4</f>
        <v>0.33625000000000005</v>
      </c>
      <c r="J29" s="45">
        <f>I29+('11_Scenarios'!$E$18-I29)/3</f>
        <v>0.33750000000000002</v>
      </c>
      <c r="K29" s="45">
        <f>J29+('11_Scenarios'!$E$18-J29)/2</f>
        <v>0.33875</v>
      </c>
      <c r="L29" s="45">
        <f>K29+('11_Scenarios'!$E$18-K29)/1</f>
        <v>0.34</v>
      </c>
      <c r="M29" t="s">
        <v>193</v>
      </c>
    </row>
    <row r="30" spans="1:13" ht="15" customHeight="1" x14ac:dyDescent="0.2"/>
    <row r="31" spans="1:13" ht="15" customHeight="1" x14ac:dyDescent="0.2">
      <c r="A31" s="44" t="s">
        <v>194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3" ht="15" customHeight="1" x14ac:dyDescent="0.2">
      <c r="A32" s="21" t="s">
        <v>195</v>
      </c>
      <c r="D32" s="46">
        <f>'11_Scenarios'!$E$19</f>
        <v>0.22</v>
      </c>
    </row>
    <row r="33" spans="1:12" ht="15" customHeight="1" x14ac:dyDescent="0.2">
      <c r="A33" s="21" t="s">
        <v>196</v>
      </c>
      <c r="D33" s="46">
        <f>'11_Scenarios'!$E$27</f>
        <v>3.1E-2</v>
      </c>
    </row>
    <row r="34" spans="1:12" ht="15" customHeight="1" x14ac:dyDescent="0.2">
      <c r="A34" s="21" t="s">
        <v>197</v>
      </c>
      <c r="D34" s="46">
        <f>'11_Scenarios'!$E$28</f>
        <v>4.4999999999999998E-2</v>
      </c>
    </row>
    <row r="35" spans="1:12" ht="15" customHeight="1" x14ac:dyDescent="0.2">
      <c r="A35" s="21" t="s">
        <v>198</v>
      </c>
      <c r="D35" s="46">
        <f>'11_Scenarios'!$E$26</f>
        <v>0.3</v>
      </c>
    </row>
    <row r="36" spans="1:12" ht="15" customHeight="1" x14ac:dyDescent="0.2">
      <c r="A36" s="21" t="s">
        <v>199</v>
      </c>
      <c r="D36" s="47">
        <f>'11_Scenarios'!$E$21</f>
        <v>32</v>
      </c>
    </row>
    <row r="37" spans="1:12" ht="15" customHeight="1" x14ac:dyDescent="0.2">
      <c r="A37" s="21" t="s">
        <v>200</v>
      </c>
      <c r="D37" s="48">
        <f>'11_Scenarios'!$E$22</f>
        <v>1.75</v>
      </c>
    </row>
    <row r="38" spans="1:12" ht="15" customHeight="1" x14ac:dyDescent="0.2">
      <c r="A38" s="21" t="s">
        <v>201</v>
      </c>
      <c r="D38" s="49">
        <f>'11_Scenarios'!$E$24</f>
        <v>1000</v>
      </c>
    </row>
    <row r="39" spans="1:12" ht="15" customHeight="1" x14ac:dyDescent="0.2">
      <c r="A39" s="21" t="s">
        <v>202</v>
      </c>
      <c r="D39" s="49">
        <f>'11_Scenarios'!$E$25</f>
        <v>500</v>
      </c>
    </row>
    <row r="40" spans="1:12" ht="15" customHeight="1" x14ac:dyDescent="0.2">
      <c r="A40" s="21" t="s">
        <v>6</v>
      </c>
      <c r="D40" s="46">
        <f>'11_Scenarios'!$E$20</f>
        <v>2.5000000000000001E-2</v>
      </c>
    </row>
    <row r="41" spans="1:12" ht="15" customHeight="1" x14ac:dyDescent="0.2">
      <c r="A41" t="s">
        <v>203</v>
      </c>
      <c r="D41">
        <f>'11_Scenarios'!F34</f>
        <v>500</v>
      </c>
      <c r="E41">
        <f>'11_Scenarios'!G34</f>
        <v>500</v>
      </c>
      <c r="F41">
        <f>'11_Scenarios'!H34</f>
        <v>500</v>
      </c>
      <c r="G41">
        <f>'11_Scenarios'!I34</f>
        <v>300</v>
      </c>
      <c r="H41">
        <f>'11_Scenarios'!J34</f>
        <v>300</v>
      </c>
      <c r="I41">
        <f>'11_Scenarios'!K34</f>
        <v>300</v>
      </c>
      <c r="J41">
        <f>'11_Scenarios'!L34</f>
        <v>0</v>
      </c>
      <c r="K41">
        <f>'11_Scenarios'!M34</f>
        <v>0</v>
      </c>
      <c r="L41">
        <f>'11_Scenarios'!N34</f>
        <v>0</v>
      </c>
    </row>
    <row r="42" spans="1:12" ht="15" customHeight="1" x14ac:dyDescent="0.2">
      <c r="A42" s="50" t="s">
        <v>204</v>
      </c>
    </row>
    <row r="43" spans="1:12" ht="15" customHeight="1" x14ac:dyDescent="0.2">
      <c r="A43" s="51" t="s">
        <v>205</v>
      </c>
      <c r="B43" s="52">
        <v>1</v>
      </c>
    </row>
    <row r="44" spans="1:12" ht="15" customHeight="1" x14ac:dyDescent="0.2">
      <c r="A44" t="s">
        <v>206</v>
      </c>
      <c r="D44">
        <v>4.0000000000000001E-3</v>
      </c>
    </row>
    <row r="45" spans="1:12" ht="15" customHeight="1" x14ac:dyDescent="0.2">
      <c r="A45" t="s">
        <v>207</v>
      </c>
      <c r="D45">
        <v>0.15</v>
      </c>
    </row>
    <row r="46" spans="1:12" ht="15" customHeight="1" x14ac:dyDescent="0.2">
      <c r="A46" t="s">
        <v>208</v>
      </c>
      <c r="D46">
        <f>D37-D45</f>
        <v>1.6</v>
      </c>
    </row>
    <row r="47" spans="1:12" ht="15" customHeight="1" x14ac:dyDescent="0.2">
      <c r="A47" t="s">
        <v>209</v>
      </c>
      <c r="D47">
        <v>0.5</v>
      </c>
    </row>
  </sheetData>
  <conditionalFormatting sqref="B9">
    <cfRule type="cellIs" dxfId="10" priority="2" operator="equal">
      <formula>"PASS"</formula>
    </cfRule>
    <cfRule type="cellIs" dxfId="9" priority="3" operator="equal">
      <formula>"FAIL"</formula>
    </cfRule>
  </conditionalFormatting>
  <conditionalFormatting sqref="D9">
    <cfRule type="cellIs" dxfId="8" priority="13" operator="equal">
      <formula>"PASS"</formula>
    </cfRule>
    <cfRule type="cellIs" dxfId="7" priority="14" operator="equal">
      <formula>"FAIL"</formula>
    </cfRule>
  </conditionalFormatting>
  <conditionalFormatting sqref="D8:L8">
    <cfRule type="cellIs" dxfId="6" priority="4" operator="notBetween">
      <formula>-0.01</formula>
      <formula>0.01</formula>
    </cfRule>
    <cfRule type="cellIs" dxfId="5" priority="15" operator="greaterThan">
      <formula>0.01</formula>
    </cfRule>
    <cfRule type="cellIs" dxfId="4" priority="16" operator="lessThan">
      <formula>-0.01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DC3E6"/>
  </sheetPr>
  <dimension ref="A1:L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17" t="s">
        <v>210</v>
      </c>
    </row>
    <row r="3" spans="1:12" ht="15" customHeight="1" x14ac:dyDescent="0.2">
      <c r="A3" s="18" t="s">
        <v>71</v>
      </c>
      <c r="B3" s="33" t="s">
        <v>72</v>
      </c>
      <c r="C3" s="33" t="s">
        <v>73</v>
      </c>
      <c r="D3" s="33" t="s">
        <v>160</v>
      </c>
      <c r="E3" s="33" t="s">
        <v>161</v>
      </c>
      <c r="F3" s="33" t="s">
        <v>162</v>
      </c>
      <c r="G3" s="33" t="s">
        <v>163</v>
      </c>
      <c r="H3" s="33" t="s">
        <v>164</v>
      </c>
      <c r="I3" s="33" t="s">
        <v>165</v>
      </c>
      <c r="J3" s="33" t="s">
        <v>166</v>
      </c>
      <c r="K3" s="33" t="s">
        <v>167</v>
      </c>
      <c r="L3" s="33" t="s">
        <v>168</v>
      </c>
    </row>
    <row r="4" spans="1:12" ht="15" customHeight="1" x14ac:dyDescent="0.2">
      <c r="A4" s="20" t="s">
        <v>211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" customHeight="1" x14ac:dyDescent="0.2">
      <c r="A5" s="21" t="s">
        <v>148</v>
      </c>
      <c r="B5" s="22">
        <v>2860</v>
      </c>
      <c r="C5" s="22">
        <v>3793</v>
      </c>
      <c r="D5" s="53">
        <f>C5*(1+'03_Drivers'!D19)</f>
        <v>4100.2330000000002</v>
      </c>
      <c r="E5" s="53">
        <f>D5*(1+'03_Drivers'!E19)</f>
        <v>4469.2539700000007</v>
      </c>
      <c r="F5" s="53">
        <f>E5*(1+'03_Drivers'!F19)</f>
        <v>4871.4868273000011</v>
      </c>
      <c r="G5" s="53">
        <f>F5*(1+'03_Drivers'!G19)</f>
        <v>5281.041440543002</v>
      </c>
      <c r="H5" s="53">
        <f>G5*(1+'03_Drivers'!H19)</f>
        <v>5545.0935125701526</v>
      </c>
      <c r="I5" s="53">
        <f>H5*(1+'03_Drivers'!I19)</f>
        <v>5822.3481881986609</v>
      </c>
      <c r="J5" s="53">
        <f>I5*(1+'03_Drivers'!J19)</f>
        <v>6113.4655976085942</v>
      </c>
      <c r="K5" s="53">
        <f>J5*(1+'03_Drivers'!K19)</f>
        <v>6419.1388774890238</v>
      </c>
      <c r="L5" s="53">
        <f>K5*(1+'03_Drivers'!L19)</f>
        <v>6740.0958213634749</v>
      </c>
    </row>
    <row r="6" spans="1:12" ht="15" customHeight="1" x14ac:dyDescent="0.2">
      <c r="A6" s="21" t="s">
        <v>212</v>
      </c>
      <c r="C6" s="45">
        <f t="shared" ref="C6:L6" si="0">C5/B5-1</f>
        <v>0.3262237762237763</v>
      </c>
      <c r="D6" s="45">
        <f t="shared" si="0"/>
        <v>8.0999999999999961E-2</v>
      </c>
      <c r="E6" s="45">
        <f t="shared" si="0"/>
        <v>9.000000000000008E-2</v>
      </c>
      <c r="F6" s="45">
        <f t="shared" si="0"/>
        <v>9.000000000000008E-2</v>
      </c>
      <c r="G6" s="45">
        <f t="shared" si="0"/>
        <v>8.407178911946156E-2</v>
      </c>
      <c r="H6" s="45">
        <f t="shared" si="0"/>
        <v>5.0000000000000044E-2</v>
      </c>
      <c r="I6" s="45">
        <f t="shared" si="0"/>
        <v>5.0000000000000044E-2</v>
      </c>
      <c r="J6" s="45">
        <f t="shared" si="0"/>
        <v>5.0000000000000044E-2</v>
      </c>
      <c r="K6" s="45">
        <f t="shared" si="0"/>
        <v>5.0000000000000044E-2</v>
      </c>
      <c r="L6" s="45">
        <f t="shared" si="0"/>
        <v>5.0000000000000044E-2</v>
      </c>
    </row>
    <row r="8" spans="1:12" ht="15" customHeight="1" x14ac:dyDescent="0.2">
      <c r="A8" s="21" t="s">
        <v>149</v>
      </c>
      <c r="B8" s="22">
        <v>3056</v>
      </c>
      <c r="C8" s="22">
        <v>3295</v>
      </c>
      <c r="D8" s="53">
        <f>C8*(1+'03_Drivers'!D25)</f>
        <v>3594.8449999999998</v>
      </c>
      <c r="E8" s="53">
        <f>D8*(1+'03_Drivers'!E25)</f>
        <v>3909.3939374999995</v>
      </c>
      <c r="F8" s="53">
        <f>E8*(1+'03_Drivers'!F25)</f>
        <v>4251.4659070312491</v>
      </c>
      <c r="G8" s="53">
        <f>F8*(1+'03_Drivers'!G25)</f>
        <v>4623.469173896483</v>
      </c>
      <c r="H8" s="53">
        <f>G8*(1+'03_Drivers'!H25)</f>
        <v>4947.1120160692371</v>
      </c>
      <c r="I8" s="53">
        <f>H8*(1+'03_Drivers'!I25)</f>
        <v>5293.409857194084</v>
      </c>
      <c r="J8" s="53">
        <f>I8*(1+'03_Drivers'!J25)</f>
        <v>5663.9485471976705</v>
      </c>
      <c r="K8" s="53">
        <f>J8*(1+'03_Drivers'!K25)</f>
        <v>6060.4249455015079</v>
      </c>
      <c r="L8" s="53">
        <f>K8*(1+'03_Drivers'!L25)</f>
        <v>6484.6546916866137</v>
      </c>
    </row>
    <row r="9" spans="1:12" ht="15" customHeight="1" x14ac:dyDescent="0.2">
      <c r="A9" s="21" t="s">
        <v>213</v>
      </c>
      <c r="C9" s="45">
        <f t="shared" ref="C9:L9" si="1">C8/B8-1</f>
        <v>7.8206806282722585E-2</v>
      </c>
      <c r="D9" s="45">
        <f t="shared" si="1"/>
        <v>9.099999999999997E-2</v>
      </c>
      <c r="E9" s="45">
        <f t="shared" si="1"/>
        <v>8.7499999999999911E-2</v>
      </c>
      <c r="F9" s="45">
        <f t="shared" si="1"/>
        <v>8.7499999999999911E-2</v>
      </c>
      <c r="G9" s="45">
        <f t="shared" si="1"/>
        <v>8.7499999999999911E-2</v>
      </c>
      <c r="H9" s="45">
        <f t="shared" si="1"/>
        <v>7.0000000000000062E-2</v>
      </c>
      <c r="I9" s="45">
        <f t="shared" si="1"/>
        <v>7.0000000000000062E-2</v>
      </c>
      <c r="J9" s="45">
        <f t="shared" si="1"/>
        <v>7.0000000000000062E-2</v>
      </c>
      <c r="K9" s="45">
        <f t="shared" si="1"/>
        <v>7.0000000000000062E-2</v>
      </c>
      <c r="L9" s="45">
        <f t="shared" si="1"/>
        <v>7.0000000000000062E-2</v>
      </c>
    </row>
    <row r="11" spans="1:12" ht="15" customHeight="1" x14ac:dyDescent="0.2">
      <c r="A11" s="54" t="s">
        <v>75</v>
      </c>
      <c r="B11" s="55">
        <f t="shared" ref="B11:L11" si="2">B5+B8</f>
        <v>5916</v>
      </c>
      <c r="C11" s="55">
        <f t="shared" si="2"/>
        <v>7088</v>
      </c>
      <c r="D11" s="55">
        <f t="shared" si="2"/>
        <v>7695.0779999999995</v>
      </c>
      <c r="E11" s="55">
        <f t="shared" si="2"/>
        <v>8378.6479075000007</v>
      </c>
      <c r="F11" s="55">
        <f t="shared" si="2"/>
        <v>9122.9527343312511</v>
      </c>
      <c r="G11" s="55">
        <f t="shared" si="2"/>
        <v>9904.5106144394849</v>
      </c>
      <c r="H11" s="55">
        <f t="shared" si="2"/>
        <v>10492.20552863939</v>
      </c>
      <c r="I11" s="55">
        <f t="shared" si="2"/>
        <v>11115.758045392744</v>
      </c>
      <c r="J11" s="55">
        <f t="shared" si="2"/>
        <v>11777.414144806266</v>
      </c>
      <c r="K11" s="55">
        <f t="shared" si="2"/>
        <v>12479.563822990531</v>
      </c>
      <c r="L11" s="55">
        <f t="shared" si="2"/>
        <v>13224.750513050089</v>
      </c>
    </row>
    <row r="12" spans="1:12" ht="15" customHeight="1" x14ac:dyDescent="0.2">
      <c r="A12" s="21" t="s">
        <v>214</v>
      </c>
      <c r="C12" s="45">
        <f t="shared" ref="C12:L12" si="3">C11/B11-1</f>
        <v>0.19810682893847198</v>
      </c>
      <c r="D12" s="45">
        <f t="shared" si="3"/>
        <v>8.5648702031602575E-2</v>
      </c>
      <c r="E12" s="45">
        <f t="shared" si="3"/>
        <v>8.8832095983952586E-2</v>
      </c>
      <c r="F12" s="45">
        <f t="shared" si="3"/>
        <v>8.8833524817888421E-2</v>
      </c>
      <c r="G12" s="45">
        <f t="shared" si="3"/>
        <v>8.5669399246923295E-2</v>
      </c>
      <c r="H12" s="45">
        <f t="shared" si="3"/>
        <v>5.933608807921531E-2</v>
      </c>
      <c r="I12" s="45">
        <f t="shared" si="3"/>
        <v>5.9430070736921081E-2</v>
      </c>
      <c r="J12" s="45">
        <f t="shared" si="3"/>
        <v>5.9524154512140104E-2</v>
      </c>
      <c r="K12" s="45">
        <f t="shared" si="3"/>
        <v>5.9618322795747636E-2</v>
      </c>
      <c r="L12" s="45">
        <f t="shared" si="3"/>
        <v>5.9712558918664671E-2</v>
      </c>
    </row>
    <row r="14" spans="1:12" ht="15" customHeight="1" x14ac:dyDescent="0.2">
      <c r="A14" s="21" t="s">
        <v>215</v>
      </c>
      <c r="B14" s="45">
        <f t="shared" ref="B14:L14" si="4">B5/B11</f>
        <v>0.48343475321162949</v>
      </c>
      <c r="C14" s="45">
        <f t="shared" si="4"/>
        <v>0.53512979683972917</v>
      </c>
      <c r="D14" s="45">
        <f t="shared" si="4"/>
        <v>0.53283839358093577</v>
      </c>
      <c r="E14" s="45">
        <f t="shared" si="4"/>
        <v>0.53340992715536184</v>
      </c>
      <c r="F14" s="45">
        <f t="shared" si="4"/>
        <v>0.53398137304468896</v>
      </c>
      <c r="G14" s="45">
        <f t="shared" si="4"/>
        <v>0.53319559603923616</v>
      </c>
      <c r="H14" s="45">
        <f t="shared" si="4"/>
        <v>0.52849646315394194</v>
      </c>
      <c r="I14" s="45">
        <f t="shared" si="4"/>
        <v>0.52379227439300968</v>
      </c>
      <c r="J14" s="45">
        <f t="shared" si="4"/>
        <v>0.51908386021260688</v>
      </c>
      <c r="K14" s="45">
        <f t="shared" si="4"/>
        <v>0.51437205406677255</v>
      </c>
      <c r="L14" s="45">
        <f t="shared" si="4"/>
        <v>0.50965769181901743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DC3E6"/>
  </sheetPr>
  <dimension ref="A1:L2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17" t="str">
        <f>IF('11_Scenarios'!B4=1,"ACTIVE SCENARIO: BASE",IF('11_Scenarios'!B4=2,"ACTIVE SCENARIO: DOWNSIDE","ACTIVE SCENARIO: UPSIDE"))</f>
        <v>ACTIVE SCENARIO: BASE</v>
      </c>
    </row>
    <row r="3" spans="1:12" ht="15" customHeight="1" x14ac:dyDescent="0.2">
      <c r="A3" s="18" t="s">
        <v>71</v>
      </c>
      <c r="B3" s="33" t="s">
        <v>72</v>
      </c>
      <c r="C3" s="33" t="s">
        <v>73</v>
      </c>
      <c r="D3" s="33" t="s">
        <v>160</v>
      </c>
      <c r="E3" s="33" t="s">
        <v>161</v>
      </c>
      <c r="F3" s="33" t="s">
        <v>162</v>
      </c>
      <c r="G3" s="33" t="s">
        <v>163</v>
      </c>
      <c r="H3" s="33" t="s">
        <v>164</v>
      </c>
      <c r="I3" s="33" t="s">
        <v>165</v>
      </c>
      <c r="J3" s="33" t="s">
        <v>166</v>
      </c>
      <c r="K3" s="33" t="s">
        <v>167</v>
      </c>
      <c r="L3" s="33" t="s">
        <v>168</v>
      </c>
    </row>
    <row r="4" spans="1:12" ht="15" customHeight="1" x14ac:dyDescent="0.2">
      <c r="A4" s="54" t="s">
        <v>75</v>
      </c>
      <c r="B4" s="56">
        <f>'04_Revenue'!B11</f>
        <v>5916</v>
      </c>
      <c r="C4" s="56">
        <f>'04_Revenue'!C11</f>
        <v>7088</v>
      </c>
      <c r="D4" s="56">
        <f>'04_Revenue'!D11</f>
        <v>7695.0779999999995</v>
      </c>
      <c r="E4" s="56">
        <f>'04_Revenue'!E11</f>
        <v>8378.6479075000007</v>
      </c>
      <c r="F4" s="56">
        <f>'04_Revenue'!F11</f>
        <v>9122.9527343312511</v>
      </c>
      <c r="G4" s="56">
        <f>'04_Revenue'!G11</f>
        <v>9904.5106144394849</v>
      </c>
      <c r="H4" s="56">
        <f>'04_Revenue'!H11</f>
        <v>10492.20552863939</v>
      </c>
      <c r="I4" s="56">
        <f>'04_Revenue'!I11</f>
        <v>11115.758045392744</v>
      </c>
      <c r="J4" s="56">
        <f>'04_Revenue'!J11</f>
        <v>11777.414144806266</v>
      </c>
      <c r="K4" s="56">
        <f>'04_Revenue'!K11</f>
        <v>12479.563822990531</v>
      </c>
      <c r="L4" s="56">
        <f>'04_Revenue'!L11</f>
        <v>13224.750513050089</v>
      </c>
    </row>
    <row r="5" spans="1:12" ht="15" customHeight="1" x14ac:dyDescent="0.2">
      <c r="A5" s="21" t="s">
        <v>76</v>
      </c>
      <c r="B5" s="56">
        <f>'04_Revenue'!B5</f>
        <v>2860</v>
      </c>
      <c r="C5" s="56">
        <f>'04_Revenue'!C5</f>
        <v>3793</v>
      </c>
      <c r="D5" s="56">
        <f>'04_Revenue'!D5</f>
        <v>4100.2330000000002</v>
      </c>
      <c r="E5" s="56">
        <f>'04_Revenue'!E5</f>
        <v>4469.2539700000007</v>
      </c>
      <c r="F5" s="56">
        <f>'04_Revenue'!F5</f>
        <v>4871.4868273000011</v>
      </c>
      <c r="G5" s="56">
        <f>'04_Revenue'!G5</f>
        <v>5281.041440543002</v>
      </c>
      <c r="H5" s="56">
        <f>'04_Revenue'!H5</f>
        <v>5545.0935125701526</v>
      </c>
      <c r="I5" s="56">
        <f>'04_Revenue'!I5</f>
        <v>5822.3481881986609</v>
      </c>
      <c r="J5" s="56">
        <f>'04_Revenue'!J5</f>
        <v>6113.4655976085942</v>
      </c>
      <c r="K5" s="56">
        <f>'04_Revenue'!K5</f>
        <v>6419.1388774890238</v>
      </c>
      <c r="L5" s="56">
        <f>'04_Revenue'!L5</f>
        <v>6740.0958213634749</v>
      </c>
    </row>
    <row r="6" spans="1:12" ht="15" customHeight="1" x14ac:dyDescent="0.2">
      <c r="A6" s="21" t="s">
        <v>77</v>
      </c>
      <c r="B6" s="56">
        <f>'04_Revenue'!B8</f>
        <v>3056</v>
      </c>
      <c r="C6" s="56">
        <f>'04_Revenue'!C8</f>
        <v>3295</v>
      </c>
      <c r="D6" s="56">
        <f>'04_Revenue'!D8</f>
        <v>3594.8449999999998</v>
      </c>
      <c r="E6" s="56">
        <f>'04_Revenue'!E8</f>
        <v>3909.3939374999995</v>
      </c>
      <c r="F6" s="56">
        <f>'04_Revenue'!F8</f>
        <v>4251.4659070312491</v>
      </c>
      <c r="G6" s="56">
        <f>'04_Revenue'!G8</f>
        <v>4623.469173896483</v>
      </c>
      <c r="H6" s="56">
        <f>'04_Revenue'!H8</f>
        <v>4947.1120160692371</v>
      </c>
      <c r="I6" s="56">
        <f>'04_Revenue'!I8</f>
        <v>5293.409857194084</v>
      </c>
      <c r="J6" s="56">
        <f>'04_Revenue'!J8</f>
        <v>5663.9485471976705</v>
      </c>
      <c r="K6" s="56">
        <f>'04_Revenue'!K8</f>
        <v>6060.4249455015079</v>
      </c>
      <c r="L6" s="56">
        <f>'04_Revenue'!L8</f>
        <v>6484.6546916866137</v>
      </c>
    </row>
    <row r="8" spans="1:12" ht="15" customHeight="1" x14ac:dyDescent="0.2">
      <c r="A8" s="21" t="s">
        <v>216</v>
      </c>
      <c r="B8" s="22">
        <v>1660</v>
      </c>
      <c r="C8" s="22">
        <v>2394</v>
      </c>
      <c r="D8" s="53">
        <f>D5*'03_Drivers'!D28</f>
        <v>2542.14446</v>
      </c>
      <c r="E8" s="53">
        <f>E5*'03_Drivers'!E28</f>
        <v>2748.5911915500005</v>
      </c>
      <c r="F8" s="53">
        <f>F5*'03_Drivers'!F28</f>
        <v>2971.6069646530004</v>
      </c>
      <c r="G8" s="53">
        <f>G5*'03_Drivers'!G28</f>
        <v>3195.0300715285161</v>
      </c>
      <c r="H8" s="53">
        <f>H5*'03_Drivers'!H28</f>
        <v>3327.0561075420915</v>
      </c>
      <c r="I8" s="53">
        <f>I5*'03_Drivers'!I28</f>
        <v>3464.2971719782031</v>
      </c>
      <c r="J8" s="53">
        <f>J5*'03_Drivers'!J28</f>
        <v>3606.9447025890704</v>
      </c>
      <c r="K8" s="53">
        <f>K5*'03_Drivers'!K28</f>
        <v>3755.1962433310787</v>
      </c>
      <c r="L8" s="53">
        <f>L5*'03_Drivers'!L28</f>
        <v>3909.2555763908153</v>
      </c>
    </row>
    <row r="9" spans="1:12" ht="15" customHeight="1" x14ac:dyDescent="0.2">
      <c r="A9" s="21" t="s">
        <v>217</v>
      </c>
      <c r="B9" s="22">
        <v>937</v>
      </c>
      <c r="C9" s="22">
        <v>1014</v>
      </c>
      <c r="D9" s="53">
        <f>D6*'03_Drivers'!D29</f>
        <v>1186.2988499999999</v>
      </c>
      <c r="E9" s="53">
        <f>E6*'03_Drivers'!E29</f>
        <v>1294.9867417968751</v>
      </c>
      <c r="F9" s="53">
        <f>F6*'03_Drivers'!F29</f>
        <v>1413.6124140878903</v>
      </c>
      <c r="G9" s="53">
        <f>G6*'03_Drivers'!G29</f>
        <v>1543.0828367879512</v>
      </c>
      <c r="H9" s="53">
        <f>H6*'03_Drivers'!H29</f>
        <v>1657.2825253831945</v>
      </c>
      <c r="I9" s="53">
        <f>I6*'03_Drivers'!I29</f>
        <v>1779.909064481511</v>
      </c>
      <c r="J9" s="53">
        <f>J6*'03_Drivers'!J29</f>
        <v>1911.5826346792139</v>
      </c>
      <c r="K9" s="53">
        <f>K6*'03_Drivers'!K29</f>
        <v>2052.9689502886358</v>
      </c>
      <c r="L9" s="53">
        <f>L6*'03_Drivers'!L29</f>
        <v>2204.782595173449</v>
      </c>
    </row>
    <row r="10" spans="1:12" ht="15" customHeight="1" x14ac:dyDescent="0.2">
      <c r="A10" s="54" t="s">
        <v>218</v>
      </c>
      <c r="B10" s="53">
        <f t="shared" ref="B10:L10" si="0">B8+B9</f>
        <v>2597</v>
      </c>
      <c r="C10" s="53">
        <f t="shared" si="0"/>
        <v>3408</v>
      </c>
      <c r="D10" s="53">
        <f t="shared" si="0"/>
        <v>3728.4433099999997</v>
      </c>
      <c r="E10" s="53">
        <f t="shared" si="0"/>
        <v>4043.5779333468754</v>
      </c>
      <c r="F10" s="53">
        <f t="shared" si="0"/>
        <v>4385.2193787408905</v>
      </c>
      <c r="G10" s="53">
        <f t="shared" si="0"/>
        <v>4738.1129083164669</v>
      </c>
      <c r="H10" s="53">
        <f t="shared" si="0"/>
        <v>4984.3386329252862</v>
      </c>
      <c r="I10" s="53">
        <f t="shared" si="0"/>
        <v>5244.2062364597141</v>
      </c>
      <c r="J10" s="53">
        <f t="shared" si="0"/>
        <v>5518.5273372682841</v>
      </c>
      <c r="K10" s="53">
        <f t="shared" si="0"/>
        <v>5808.165193619714</v>
      </c>
      <c r="L10" s="53">
        <f t="shared" si="0"/>
        <v>6114.0381715642643</v>
      </c>
    </row>
    <row r="11" spans="1:12" ht="15" customHeight="1" x14ac:dyDescent="0.2">
      <c r="A11" s="21" t="s">
        <v>219</v>
      </c>
      <c r="B11" s="45">
        <f t="shared" ref="B11:L11" si="1">IF(B4=0,0,B10/B4)</f>
        <v>0.4389790398918188</v>
      </c>
      <c r="C11" s="45">
        <f t="shared" si="1"/>
        <v>0.48081264108352145</v>
      </c>
      <c r="D11" s="45">
        <f t="shared" si="1"/>
        <v>0.48452313413847137</v>
      </c>
      <c r="E11" s="45">
        <f t="shared" si="1"/>
        <v>0.48260506683033394</v>
      </c>
      <c r="F11" s="45">
        <f t="shared" si="1"/>
        <v>0.48067983101990108</v>
      </c>
      <c r="G11" s="45">
        <f t="shared" si="1"/>
        <v>0.47837930542564278</v>
      </c>
      <c r="H11" s="45">
        <f t="shared" si="1"/>
        <v>0.47505156273579463</v>
      </c>
      <c r="I11" s="45">
        <f t="shared" si="1"/>
        <v>0.47178125099919127</v>
      </c>
      <c r="J11" s="45">
        <f t="shared" si="1"/>
        <v>0.46856867470368319</v>
      </c>
      <c r="K11" s="45">
        <f t="shared" si="1"/>
        <v>0.46541411831394269</v>
      </c>
      <c r="L11" s="45">
        <f t="shared" si="1"/>
        <v>0.46231784603656423</v>
      </c>
    </row>
    <row r="13" spans="1:12" ht="15" customHeight="1" x14ac:dyDescent="0.2">
      <c r="A13" s="21" t="s">
        <v>220</v>
      </c>
      <c r="B13" s="22">
        <v>-210</v>
      </c>
      <c r="C13" s="22">
        <v>-220</v>
      </c>
      <c r="D13" s="57">
        <f>-D4*'03_Drivers'!$D$33</f>
        <v>-238.54741799999999</v>
      </c>
      <c r="E13" s="57">
        <f>-E4*'03_Drivers'!$D$33</f>
        <v>-259.73808513250003</v>
      </c>
      <c r="F13" s="57">
        <f>-F4*'03_Drivers'!$D$33</f>
        <v>-282.8115347642688</v>
      </c>
      <c r="G13" s="57">
        <f>-G4*'03_Drivers'!$D$33</f>
        <v>-307.03982904762404</v>
      </c>
      <c r="H13" s="57">
        <f>-H4*'03_Drivers'!$D$33</f>
        <v>-325.25837138782106</v>
      </c>
      <c r="I13" s="57">
        <f>-I4*'03_Drivers'!$D$33</f>
        <v>-344.58849940717505</v>
      </c>
      <c r="J13" s="57">
        <f>-J4*'03_Drivers'!$D$33</f>
        <v>-365.09983848899424</v>
      </c>
      <c r="K13" s="57">
        <f>-K4*'03_Drivers'!$D$33</f>
        <v>-386.86647851270646</v>
      </c>
      <c r="L13" s="57">
        <f>-L4*'03_Drivers'!$D$33</f>
        <v>-409.96726590455273</v>
      </c>
    </row>
    <row r="14" spans="1:12" ht="15" customHeight="1" x14ac:dyDescent="0.2">
      <c r="A14" s="21" t="s">
        <v>221</v>
      </c>
      <c r="B14" s="22">
        <v>-198</v>
      </c>
      <c r="C14" s="22">
        <v>-198</v>
      </c>
      <c r="D14" s="22">
        <f>-ROUND('06_BS'!C13*0.085,0)</f>
        <v>-161</v>
      </c>
      <c r="E14" s="22">
        <f>-ROUND('06_BS'!D13*0.085,0)</f>
        <v>-147</v>
      </c>
      <c r="F14" s="22">
        <f>-ROUND('06_BS'!E13*0.085,0)</f>
        <v>-133</v>
      </c>
      <c r="G14" s="22">
        <f>-ROUND('06_BS'!F13*0.085,0)</f>
        <v>-120</v>
      </c>
      <c r="H14" s="22">
        <f>-ROUND('06_BS'!G13*0.085,0)</f>
        <v>-106</v>
      </c>
      <c r="I14" s="22">
        <f>-ROUND('06_BS'!H13*0.085,0)</f>
        <v>-93</v>
      </c>
      <c r="J14" s="22">
        <f>-ROUND('06_BS'!I13*0.085,0)</f>
        <v>-79</v>
      </c>
      <c r="K14" s="22">
        <f>-ROUND('06_BS'!J13*0.085,0)</f>
        <v>-65</v>
      </c>
      <c r="L14" s="22">
        <f>-ROUND('06_BS'!K13*0.085,0)</f>
        <v>-52</v>
      </c>
    </row>
    <row r="15" spans="1:12" ht="15" customHeight="1" x14ac:dyDescent="0.2">
      <c r="A15" s="21" t="s">
        <v>222</v>
      </c>
      <c r="B15" s="22">
        <v>-67</v>
      </c>
      <c r="C15" s="22">
        <v>-102</v>
      </c>
      <c r="D15" s="22">
        <v>-30</v>
      </c>
      <c r="E15" s="22">
        <v>-30</v>
      </c>
      <c r="F15" s="22">
        <v>-30</v>
      </c>
      <c r="G15" s="22">
        <v>-30</v>
      </c>
      <c r="H15" s="22">
        <v>-30</v>
      </c>
      <c r="I15" s="22">
        <v>-30</v>
      </c>
      <c r="J15" s="22">
        <v>-30</v>
      </c>
      <c r="K15" s="22">
        <v>-30</v>
      </c>
      <c r="L15" s="22">
        <v>-30</v>
      </c>
    </row>
    <row r="17" spans="1:12" ht="15" customHeight="1" x14ac:dyDescent="0.2">
      <c r="A17" s="54" t="s">
        <v>223</v>
      </c>
      <c r="B17" s="53">
        <f t="shared" ref="B17:L17" si="2">B10+B13+B14+B15</f>
        <v>2122</v>
      </c>
      <c r="C17" s="53">
        <f t="shared" si="2"/>
        <v>2888</v>
      </c>
      <c r="D17" s="53">
        <f t="shared" si="2"/>
        <v>3298.8958919999995</v>
      </c>
      <c r="E17" s="53">
        <f t="shared" si="2"/>
        <v>3606.8398482143753</v>
      </c>
      <c r="F17" s="53">
        <f t="shared" si="2"/>
        <v>3939.4078439766217</v>
      </c>
      <c r="G17" s="53">
        <f t="shared" si="2"/>
        <v>4281.0730792688428</v>
      </c>
      <c r="H17" s="53">
        <f t="shared" si="2"/>
        <v>4523.080261537465</v>
      </c>
      <c r="I17" s="53">
        <f t="shared" si="2"/>
        <v>4776.6177370525393</v>
      </c>
      <c r="J17" s="53">
        <f t="shared" si="2"/>
        <v>5044.4274987792896</v>
      </c>
      <c r="K17" s="53">
        <f t="shared" si="2"/>
        <v>5326.2987151070074</v>
      </c>
      <c r="L17" s="53">
        <f t="shared" si="2"/>
        <v>5622.0709056597116</v>
      </c>
    </row>
    <row r="19" spans="1:12" ht="15" customHeight="1" x14ac:dyDescent="0.2">
      <c r="A19" s="21" t="s">
        <v>224</v>
      </c>
      <c r="B19" s="22">
        <v>-251</v>
      </c>
      <c r="C19" s="22">
        <v>-217</v>
      </c>
      <c r="D19" s="57">
        <f>-ROUND('10_CapAlloc'!C22*0.04,0)+ROUND('10_CapAlloc'!C30*0.035,0)</f>
        <v>-206</v>
      </c>
      <c r="E19" s="57">
        <f>-ROUND('10_CapAlloc'!D22*0.04,0)+ROUND('10_CapAlloc'!D30*0.035,0)</f>
        <v>-252</v>
      </c>
      <c r="F19" s="57">
        <f>-ROUND('10_CapAlloc'!E22*0.04,0)+ROUND('10_CapAlloc'!E30*0.035,0)</f>
        <v>-298</v>
      </c>
      <c r="G19" s="57">
        <f>-ROUND('10_CapAlloc'!F22*0.04,0)+ROUND('10_CapAlloc'!F30*0.035,0)</f>
        <v>-326</v>
      </c>
      <c r="H19" s="57">
        <f>-ROUND('10_CapAlloc'!G22*0.04,0)+ROUND('10_CapAlloc'!G30*0.035,0)</f>
        <v>-335</v>
      </c>
      <c r="I19" s="57">
        <f>-ROUND('10_CapAlloc'!H22*0.04,0)+ROUND('10_CapAlloc'!H30*0.035,0)</f>
        <v>-347</v>
      </c>
      <c r="J19" s="57">
        <f>-ROUND('10_CapAlloc'!I22*0.04,0)+ROUND('10_CapAlloc'!I30*0.035,0)</f>
        <v>-359</v>
      </c>
      <c r="K19" s="57">
        <f>-ROUND('10_CapAlloc'!J22*0.04,0)+ROUND('10_CapAlloc'!J30*0.035,0)</f>
        <v>-359</v>
      </c>
      <c r="L19" s="57">
        <f>-ROUND('10_CapAlloc'!K22*0.04,0)+ROUND('10_CapAlloc'!K30*0.035,0)</f>
        <v>-359</v>
      </c>
    </row>
    <row r="20" spans="1:12" ht="15" customHeight="1" x14ac:dyDescent="0.2">
      <c r="A20" s="21" t="s">
        <v>225</v>
      </c>
      <c r="B20" s="53">
        <f>B17+B19</f>
        <v>1871</v>
      </c>
      <c r="C20" s="53">
        <f>C17+C19+61</f>
        <v>2732</v>
      </c>
      <c r="D20" s="53">
        <f t="shared" ref="D20:L20" si="3">D17+D19+60</f>
        <v>3152.8958919999995</v>
      </c>
      <c r="E20" s="53">
        <f t="shared" si="3"/>
        <v>3414.8398482143753</v>
      </c>
      <c r="F20" s="53">
        <f t="shared" si="3"/>
        <v>3701.4078439766217</v>
      </c>
      <c r="G20" s="53">
        <f t="shared" si="3"/>
        <v>4015.0730792688428</v>
      </c>
      <c r="H20" s="53">
        <f t="shared" si="3"/>
        <v>4248.080261537465</v>
      </c>
      <c r="I20" s="53">
        <f t="shared" si="3"/>
        <v>4489.6177370525393</v>
      </c>
      <c r="J20" s="53">
        <f t="shared" si="3"/>
        <v>4745.4274987792896</v>
      </c>
      <c r="K20" s="53">
        <f t="shared" si="3"/>
        <v>5027.2987151070074</v>
      </c>
      <c r="L20" s="53">
        <f t="shared" si="3"/>
        <v>5323.0709056597116</v>
      </c>
    </row>
    <row r="21" spans="1:12" ht="15" customHeight="1" x14ac:dyDescent="0.2">
      <c r="A21" s="21" t="s">
        <v>85</v>
      </c>
      <c r="B21" s="22">
        <v>-327</v>
      </c>
      <c r="C21" s="22">
        <v>-640</v>
      </c>
      <c r="D21" s="57">
        <f>-D20*'03_Drivers'!$D$32</f>
        <v>-693.63709623999989</v>
      </c>
      <c r="E21" s="57">
        <f>-E20*'03_Drivers'!$D$32</f>
        <v>-751.26476660716253</v>
      </c>
      <c r="F21" s="57">
        <f>-F20*'03_Drivers'!$D$32</f>
        <v>-814.30972567485674</v>
      </c>
      <c r="G21" s="57">
        <f>-G20*'03_Drivers'!$D$32</f>
        <v>-883.31607743914537</v>
      </c>
      <c r="H21" s="57">
        <f>-H20*'03_Drivers'!$D$32</f>
        <v>-934.57765753824231</v>
      </c>
      <c r="I21" s="57">
        <f>-I20*'03_Drivers'!$D$32</f>
        <v>-987.71590215155868</v>
      </c>
      <c r="J21" s="57">
        <f>-J20*'03_Drivers'!$D$32</f>
        <v>-1043.9940497314437</v>
      </c>
      <c r="K21" s="57">
        <f>-K20*'03_Drivers'!$D$32</f>
        <v>-1106.0057173235416</v>
      </c>
      <c r="L21" s="57">
        <f>-L20*'03_Drivers'!$D$32</f>
        <v>-1171.0755992451366</v>
      </c>
    </row>
    <row r="22" spans="1:12" ht="15" customHeight="1" x14ac:dyDescent="0.2">
      <c r="A22" s="54" t="s">
        <v>226</v>
      </c>
      <c r="B22" s="53">
        <f t="shared" ref="B22:L22" si="4">B20+B21</f>
        <v>1544</v>
      </c>
      <c r="C22" s="53">
        <f t="shared" si="4"/>
        <v>2092</v>
      </c>
      <c r="D22" s="53">
        <f t="shared" si="4"/>
        <v>2459.2587957599999</v>
      </c>
      <c r="E22" s="53">
        <f t="shared" si="4"/>
        <v>2663.5750816072127</v>
      </c>
      <c r="F22" s="53">
        <f t="shared" si="4"/>
        <v>2887.0981183017648</v>
      </c>
      <c r="G22" s="53">
        <f t="shared" si="4"/>
        <v>3131.7570018296974</v>
      </c>
      <c r="H22" s="53">
        <f t="shared" si="4"/>
        <v>3313.5026039992226</v>
      </c>
      <c r="I22" s="53">
        <f t="shared" si="4"/>
        <v>3501.9018349009807</v>
      </c>
      <c r="J22" s="53">
        <f t="shared" si="4"/>
        <v>3701.4334490478459</v>
      </c>
      <c r="K22" s="53">
        <f t="shared" si="4"/>
        <v>3921.2929977834656</v>
      </c>
      <c r="L22" s="53">
        <f t="shared" si="4"/>
        <v>4151.9953064145748</v>
      </c>
    </row>
    <row r="24" spans="1:12" ht="15" customHeight="1" x14ac:dyDescent="0.2">
      <c r="A24" s="21" t="s">
        <v>227</v>
      </c>
      <c r="B24" s="22">
        <v>373</v>
      </c>
      <c r="C24" s="22">
        <v>431</v>
      </c>
      <c r="D24" s="53">
        <f>ROUND('04_Revenue'!D11*0.06,0)</f>
        <v>462</v>
      </c>
      <c r="E24" s="53">
        <f>ROUND('04_Revenue'!E11*0.058,0)</f>
        <v>486</v>
      </c>
      <c r="F24" s="53">
        <f>ROUND('04_Revenue'!F11*0.056,0)</f>
        <v>511</v>
      </c>
      <c r="G24" s="53">
        <f>ROUND('04_Revenue'!G11*0.055,0)</f>
        <v>545</v>
      </c>
      <c r="H24" s="53">
        <f>ROUND('04_Revenue'!H11*0.054,0)</f>
        <v>567</v>
      </c>
      <c r="I24" s="53">
        <f>ROUND('04_Revenue'!I11*0.053,0)</f>
        <v>589</v>
      </c>
      <c r="J24" s="53">
        <f>ROUND('04_Revenue'!J11*0.052,0)</f>
        <v>612</v>
      </c>
      <c r="K24" s="53">
        <f>ROUND('04_Revenue'!K11*0.051,0)</f>
        <v>636</v>
      </c>
      <c r="L24" s="53">
        <f>ROUND('04_Revenue'!L11*0.05,0)</f>
        <v>661</v>
      </c>
    </row>
    <row r="25" spans="1:12" ht="15" customHeight="1" x14ac:dyDescent="0.2">
      <c r="A25" s="54" t="s">
        <v>228</v>
      </c>
      <c r="B25" s="53">
        <f t="shared" ref="B25:L25" si="5">B10+B24</f>
        <v>2970</v>
      </c>
      <c r="C25" s="53">
        <f t="shared" si="5"/>
        <v>3839</v>
      </c>
      <c r="D25" s="53">
        <f t="shared" si="5"/>
        <v>4190.4433099999997</v>
      </c>
      <c r="E25" s="53">
        <f t="shared" si="5"/>
        <v>4529.5779333468754</v>
      </c>
      <c r="F25" s="53">
        <f t="shared" si="5"/>
        <v>4896.2193787408905</v>
      </c>
      <c r="G25" s="53">
        <f t="shared" si="5"/>
        <v>5283.1129083164669</v>
      </c>
      <c r="H25" s="53">
        <f t="shared" si="5"/>
        <v>5551.3386329252862</v>
      </c>
      <c r="I25" s="53">
        <f t="shared" si="5"/>
        <v>5833.2062364597141</v>
      </c>
      <c r="J25" s="53">
        <f t="shared" si="5"/>
        <v>6130.5273372682841</v>
      </c>
      <c r="K25" s="53">
        <f t="shared" si="5"/>
        <v>6444.165193619714</v>
      </c>
      <c r="L25" s="53">
        <f t="shared" si="5"/>
        <v>6775.0381715642643</v>
      </c>
    </row>
    <row r="26" spans="1:12" ht="15" customHeight="1" x14ac:dyDescent="0.2">
      <c r="A26" s="58" t="s">
        <v>229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DC3E6"/>
  </sheetPr>
  <dimension ref="A1:L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27" t="str">
        <f>IF('11_Scenarios'!B4=1,"ACTIVE SCENARIO: BASE",IF('11_Scenarios'!B4=2,"ACTIVE SCENARIO: DOWNSIDE","ACTIVE SCENARIO: UPSIDE"))</f>
        <v>ACTIVE SCENARIO: BASE</v>
      </c>
    </row>
    <row r="2" spans="1:12" ht="15" customHeight="1" x14ac:dyDescent="0.2">
      <c r="A2" s="28" t="s">
        <v>230</v>
      </c>
    </row>
    <row r="4" spans="1:12" ht="15" customHeight="1" x14ac:dyDescent="0.2">
      <c r="A4" s="29" t="s">
        <v>71</v>
      </c>
      <c r="B4" s="29" t="s">
        <v>72</v>
      </c>
      <c r="C4" s="29" t="s">
        <v>73</v>
      </c>
      <c r="D4" s="29" t="s">
        <v>160</v>
      </c>
      <c r="E4" s="29" t="s">
        <v>161</v>
      </c>
      <c r="F4" s="29" t="s">
        <v>162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  <c r="L4" s="29" t="s">
        <v>168</v>
      </c>
    </row>
    <row r="5" spans="1:12" ht="15" customHeight="1" x14ac:dyDescent="0.2">
      <c r="A5" s="30" t="s">
        <v>231</v>
      </c>
    </row>
    <row r="6" spans="1:12" ht="15" customHeight="1" x14ac:dyDescent="0.2">
      <c r="A6" s="31" t="s">
        <v>232</v>
      </c>
      <c r="B6" s="22">
        <v>2193</v>
      </c>
      <c r="C6" s="22">
        <v>2974</v>
      </c>
      <c r="D6" s="56">
        <f>'10_CapAlloc'!D30</f>
        <v>2224</v>
      </c>
      <c r="E6" s="56">
        <f>'10_CapAlloc'!E30</f>
        <v>1474</v>
      </c>
      <c r="F6" s="56">
        <f>'10_CapAlloc'!F30</f>
        <v>1000</v>
      </c>
      <c r="G6" s="56">
        <f>'10_CapAlloc'!G30</f>
        <v>1000</v>
      </c>
      <c r="H6" s="56">
        <f>'10_CapAlloc'!H30</f>
        <v>1000</v>
      </c>
      <c r="I6" s="56">
        <f>'10_CapAlloc'!I30</f>
        <v>1000</v>
      </c>
      <c r="J6" s="56">
        <f>'10_CapAlloc'!J30</f>
        <v>1000</v>
      </c>
      <c r="K6" s="56">
        <f>'10_CapAlloc'!K30</f>
        <v>1000</v>
      </c>
      <c r="L6" s="56">
        <f>'10_CapAlloc'!L30</f>
        <v>1000</v>
      </c>
    </row>
    <row r="7" spans="1:12" ht="15" customHeight="1" x14ac:dyDescent="0.2">
      <c r="A7" t="s">
        <v>233</v>
      </c>
      <c r="B7" s="22">
        <v>1659</v>
      </c>
      <c r="C7" s="22">
        <v>1801</v>
      </c>
      <c r="D7" s="53">
        <f>ROUND('04_Revenue'!D11*0.255,0)</f>
        <v>1962</v>
      </c>
      <c r="E7" s="53">
        <f>ROUND('04_Revenue'!E11*0.255,0)</f>
        <v>2137</v>
      </c>
      <c r="F7" s="53">
        <f>ROUND('04_Revenue'!F11*0.255,0)</f>
        <v>2326</v>
      </c>
      <c r="G7" s="53">
        <f>ROUND('04_Revenue'!G11*0.255,0)</f>
        <v>2526</v>
      </c>
      <c r="H7" s="53">
        <f>ROUND('04_Revenue'!H11*0.255,0)</f>
        <v>2676</v>
      </c>
      <c r="I7" s="53">
        <f>ROUND('04_Revenue'!I11*0.255,0)</f>
        <v>2835</v>
      </c>
      <c r="J7" s="53">
        <f>ROUND('04_Revenue'!J11*0.255,0)</f>
        <v>3003</v>
      </c>
      <c r="K7" s="53">
        <f>ROUND('04_Revenue'!K11*0.255,0)</f>
        <v>3182</v>
      </c>
      <c r="L7" s="53">
        <f>ROUND('04_Revenue'!L11*0.255,0)</f>
        <v>3372</v>
      </c>
    </row>
    <row r="8" spans="1:12" ht="15" customHeight="1" x14ac:dyDescent="0.2">
      <c r="A8" t="s">
        <v>234</v>
      </c>
      <c r="B8" s="22">
        <v>489</v>
      </c>
      <c r="C8" s="22">
        <v>515</v>
      </c>
      <c r="D8" s="53">
        <f>ROUND('04_Revenue'!D11*0.07,0)</f>
        <v>539</v>
      </c>
      <c r="E8" s="53">
        <f>ROUND('04_Revenue'!E11*0.07,0)</f>
        <v>587</v>
      </c>
      <c r="F8" s="53">
        <f>ROUND('04_Revenue'!F11*0.07,0)</f>
        <v>639</v>
      </c>
      <c r="G8" s="53">
        <f>ROUND('04_Revenue'!G11*0.07,0)</f>
        <v>693</v>
      </c>
      <c r="H8" s="53">
        <f>ROUND('04_Revenue'!H11*0.07,0)</f>
        <v>734</v>
      </c>
      <c r="I8" s="53">
        <f>ROUND('04_Revenue'!I11*0.07,0)</f>
        <v>778</v>
      </c>
      <c r="J8" s="53">
        <f>ROUND('04_Revenue'!J11*0.07,0)</f>
        <v>824</v>
      </c>
      <c r="K8" s="53">
        <f>ROUND('04_Revenue'!K11*0.07,0)</f>
        <v>874</v>
      </c>
      <c r="L8" s="53">
        <f>ROUND('04_Revenue'!L11*0.07,0)</f>
        <v>926</v>
      </c>
    </row>
    <row r="9" spans="1:12" ht="15" customHeight="1" x14ac:dyDescent="0.2">
      <c r="A9" s="31" t="s">
        <v>235</v>
      </c>
      <c r="B9" s="32">
        <f t="shared" ref="B9:L9" si="0">SUM(B6:B8)</f>
        <v>4341</v>
      </c>
      <c r="C9" s="32">
        <f t="shared" si="0"/>
        <v>5290</v>
      </c>
      <c r="D9" s="32">
        <f t="shared" si="0"/>
        <v>4725</v>
      </c>
      <c r="E9" s="32">
        <f t="shared" si="0"/>
        <v>4198</v>
      </c>
      <c r="F9" s="32">
        <f t="shared" si="0"/>
        <v>3965</v>
      </c>
      <c r="G9" s="32">
        <f t="shared" si="0"/>
        <v>4219</v>
      </c>
      <c r="H9" s="32">
        <f t="shared" si="0"/>
        <v>4410</v>
      </c>
      <c r="I9" s="32">
        <f t="shared" si="0"/>
        <v>4613</v>
      </c>
      <c r="J9" s="32">
        <f t="shared" si="0"/>
        <v>4827</v>
      </c>
      <c r="K9" s="32">
        <f t="shared" si="0"/>
        <v>5056</v>
      </c>
      <c r="L9" s="32">
        <f t="shared" si="0"/>
        <v>5298</v>
      </c>
    </row>
    <row r="11" spans="1:12" ht="15" customHeight="1" x14ac:dyDescent="0.2">
      <c r="A11" t="s">
        <v>236</v>
      </c>
      <c r="B11" s="22">
        <v>603</v>
      </c>
      <c r="C11" s="22">
        <v>656</v>
      </c>
      <c r="D11" s="53">
        <f>ROUND('04_Revenue'!D11*0.085,0)</f>
        <v>654</v>
      </c>
      <c r="E11" s="53">
        <f>ROUND('04_Revenue'!E11*0.085,0)</f>
        <v>712</v>
      </c>
      <c r="F11" s="53">
        <f>ROUND('04_Revenue'!F11*0.085,0)</f>
        <v>775</v>
      </c>
      <c r="G11" s="53">
        <f>ROUND('04_Revenue'!G11*0.085,0)</f>
        <v>842</v>
      </c>
      <c r="H11" s="53">
        <f>ROUND('04_Revenue'!H11*0.085,0)</f>
        <v>892</v>
      </c>
      <c r="I11" s="53">
        <f>ROUND('04_Revenue'!I11*0.085,0)</f>
        <v>945</v>
      </c>
      <c r="J11" s="53">
        <f>ROUND('04_Revenue'!J11*0.085,0)</f>
        <v>1001</v>
      </c>
      <c r="K11" s="53">
        <f>ROUND('04_Revenue'!K11*0.085,0)</f>
        <v>1061</v>
      </c>
      <c r="L11" s="53">
        <f>ROUND('04_Revenue'!L11*0.085,0)</f>
        <v>1124</v>
      </c>
    </row>
    <row r="12" spans="1:12" ht="15" customHeight="1" x14ac:dyDescent="0.2">
      <c r="A12" t="s">
        <v>237</v>
      </c>
      <c r="B12" s="22">
        <v>5956</v>
      </c>
      <c r="C12" s="22">
        <v>5994</v>
      </c>
      <c r="D12" s="22">
        <v>5994</v>
      </c>
      <c r="E12" s="22">
        <v>5994</v>
      </c>
      <c r="F12" s="22">
        <v>5994</v>
      </c>
      <c r="G12" s="22">
        <v>5994</v>
      </c>
      <c r="H12" s="22">
        <v>5994</v>
      </c>
      <c r="I12" s="22">
        <v>5994</v>
      </c>
      <c r="J12" s="22">
        <v>5994</v>
      </c>
      <c r="K12" s="22">
        <v>5994</v>
      </c>
      <c r="L12" s="22">
        <v>5994</v>
      </c>
    </row>
    <row r="13" spans="1:12" ht="15" customHeight="1" x14ac:dyDescent="0.2">
      <c r="A13" t="s">
        <v>238</v>
      </c>
      <c r="B13" s="22">
        <v>2058</v>
      </c>
      <c r="C13" s="22">
        <v>1890</v>
      </c>
      <c r="D13" s="53">
        <f t="shared" ref="D13:L13" si="1">MAX(C13-160,500)</f>
        <v>1730</v>
      </c>
      <c r="E13" s="53">
        <f t="shared" si="1"/>
        <v>1570</v>
      </c>
      <c r="F13" s="53">
        <f t="shared" si="1"/>
        <v>1410</v>
      </c>
      <c r="G13" s="53">
        <f t="shared" si="1"/>
        <v>1250</v>
      </c>
      <c r="H13" s="53">
        <f t="shared" si="1"/>
        <v>1090</v>
      </c>
      <c r="I13" s="53">
        <f t="shared" si="1"/>
        <v>930</v>
      </c>
      <c r="J13" s="53">
        <f t="shared" si="1"/>
        <v>770</v>
      </c>
      <c r="K13" s="53">
        <f t="shared" si="1"/>
        <v>610</v>
      </c>
      <c r="L13" s="53">
        <f t="shared" si="1"/>
        <v>500</v>
      </c>
    </row>
    <row r="14" spans="1:12" ht="15" customHeight="1" x14ac:dyDescent="0.2">
      <c r="A14" t="s">
        <v>239</v>
      </c>
      <c r="B14" s="22">
        <f t="shared" ref="B14:L14" si="2">B26+B33-B9-B11-B12-B13</f>
        <v>2409</v>
      </c>
      <c r="C14" s="22">
        <f t="shared" si="2"/>
        <v>1993</v>
      </c>
      <c r="D14" s="53">
        <f t="shared" si="2"/>
        <v>1807.7310919999982</v>
      </c>
      <c r="E14" s="53">
        <f t="shared" si="2"/>
        <v>1541.0321627049998</v>
      </c>
      <c r="F14" s="53">
        <f t="shared" si="2"/>
        <v>1254.7535009856365</v>
      </c>
      <c r="G14" s="53">
        <f t="shared" si="2"/>
        <v>941.41664958779074</v>
      </c>
      <c r="H14" s="53">
        <f t="shared" si="2"/>
        <v>631.3075269887413</v>
      </c>
      <c r="I14" s="53">
        <f t="shared" si="2"/>
        <v>304.92813962424043</v>
      </c>
      <c r="J14" s="53">
        <f t="shared" si="2"/>
        <v>-38.188062348472158</v>
      </c>
      <c r="K14" s="53">
        <f t="shared" si="2"/>
        <v>-399.47416882660218</v>
      </c>
      <c r="L14" s="53">
        <f t="shared" si="2"/>
        <v>-828.32766164390159</v>
      </c>
    </row>
    <row r="15" spans="1:12" ht="15" customHeight="1" x14ac:dyDescent="0.2">
      <c r="A15" s="31" t="s">
        <v>99</v>
      </c>
      <c r="B15" s="59">
        <f t="shared" ref="B15:L15" si="3">B9+B11+B12+B13+B14</f>
        <v>15367</v>
      </c>
      <c r="C15" s="59">
        <f t="shared" si="3"/>
        <v>15823</v>
      </c>
      <c r="D15" s="59">
        <f t="shared" si="3"/>
        <v>14910.731091999998</v>
      </c>
      <c r="E15" s="59">
        <f t="shared" si="3"/>
        <v>14015.032162705</v>
      </c>
      <c r="F15" s="59">
        <f t="shared" si="3"/>
        <v>13398.753500985636</v>
      </c>
      <c r="G15" s="59">
        <f t="shared" si="3"/>
        <v>13246.416649587791</v>
      </c>
      <c r="H15" s="59">
        <f t="shared" si="3"/>
        <v>13017.307526988741</v>
      </c>
      <c r="I15" s="59">
        <f t="shared" si="3"/>
        <v>12786.92813962424</v>
      </c>
      <c r="J15" s="59">
        <f t="shared" si="3"/>
        <v>12553.811937651528</v>
      </c>
      <c r="K15" s="59">
        <f t="shared" si="3"/>
        <v>12321.525831173398</v>
      </c>
      <c r="L15" s="59">
        <f t="shared" si="3"/>
        <v>12087.672338356098</v>
      </c>
    </row>
    <row r="17" spans="1:12" ht="15" customHeight="1" x14ac:dyDescent="0.2">
      <c r="A17" s="30" t="s">
        <v>240</v>
      </c>
    </row>
    <row r="18" spans="1:12" ht="15" customHeight="1" x14ac:dyDescent="0.2">
      <c r="A18" t="s">
        <v>241</v>
      </c>
      <c r="B18" s="22">
        <v>1076</v>
      </c>
      <c r="C18" s="22">
        <v>1344</v>
      </c>
      <c r="D18" s="53">
        <f>ROUND('04_Revenue'!D11*0.185,0)</f>
        <v>1424</v>
      </c>
      <c r="E18" s="53">
        <f>ROUND('04_Revenue'!E11*0.185,0)</f>
        <v>1550</v>
      </c>
      <c r="F18" s="53">
        <f>ROUND('04_Revenue'!F11*0.185,0)</f>
        <v>1688</v>
      </c>
      <c r="G18" s="53">
        <f>ROUND('04_Revenue'!G11*0.185,0)</f>
        <v>1832</v>
      </c>
      <c r="H18" s="53">
        <f>ROUND('04_Revenue'!H11*0.185,0)</f>
        <v>1941</v>
      </c>
      <c r="I18" s="53">
        <f>ROUND('04_Revenue'!I11*0.185,0)</f>
        <v>2056</v>
      </c>
      <c r="J18" s="53">
        <f>ROUND('04_Revenue'!J11*0.185,0)</f>
        <v>2179</v>
      </c>
      <c r="K18" s="53">
        <f>ROUND('04_Revenue'!K11*0.185,0)</f>
        <v>2309</v>
      </c>
      <c r="L18" s="53">
        <f>ROUND('04_Revenue'!L11*0.185,0)</f>
        <v>2447</v>
      </c>
    </row>
    <row r="19" spans="1:12" ht="15" customHeight="1" x14ac:dyDescent="0.2">
      <c r="A19" t="s">
        <v>100</v>
      </c>
      <c r="B19" s="56">
        <f>'14_DeferredRev'!B9</f>
        <v>1316</v>
      </c>
      <c r="C19" s="56">
        <f>'14_DeferredRev'!C9</f>
        <v>1454</v>
      </c>
      <c r="D19" s="56">
        <f>'14_DeferredRev'!D9</f>
        <v>1591</v>
      </c>
      <c r="E19" s="56">
        <f>'14_DeferredRev'!E9</f>
        <v>1730</v>
      </c>
      <c r="F19" s="56">
        <f>'14_DeferredRev'!F9</f>
        <v>1881</v>
      </c>
      <c r="G19" s="56">
        <f>'14_DeferredRev'!G9</f>
        <v>2046</v>
      </c>
      <c r="H19" s="56">
        <f>'14_DeferredRev'!H9</f>
        <v>2189</v>
      </c>
      <c r="I19" s="56">
        <f>'14_DeferredRev'!I9</f>
        <v>2342</v>
      </c>
      <c r="J19" s="56">
        <f>'14_DeferredRev'!J9</f>
        <v>2506</v>
      </c>
      <c r="K19" s="56">
        <f>'14_DeferredRev'!K9</f>
        <v>2682</v>
      </c>
      <c r="L19" s="56">
        <f>'14_DeferredRev'!L9</f>
        <v>2870</v>
      </c>
    </row>
    <row r="20" spans="1:12" ht="15" customHeight="1" x14ac:dyDescent="0.2">
      <c r="A20" t="s">
        <v>242</v>
      </c>
      <c r="B20" s="22">
        <v>108</v>
      </c>
      <c r="C20" s="22">
        <v>102</v>
      </c>
      <c r="D20" s="22">
        <f>ROUND('04_Revenue'!D11*0.014,0)</f>
        <v>108</v>
      </c>
      <c r="E20" s="22">
        <f>ROUND('04_Revenue'!E11*0.014,0)</f>
        <v>117</v>
      </c>
      <c r="F20" s="22">
        <f>ROUND('04_Revenue'!F11*0.014,0)</f>
        <v>128</v>
      </c>
      <c r="G20" s="22">
        <f>ROUND('04_Revenue'!G11*0.014,0)</f>
        <v>139</v>
      </c>
      <c r="H20" s="22">
        <f>ROUND('04_Revenue'!H11*0.014,0)</f>
        <v>147</v>
      </c>
      <c r="I20" s="22">
        <f>ROUND('04_Revenue'!I11*0.014,0)</f>
        <v>156</v>
      </c>
      <c r="J20" s="22">
        <f>ROUND('04_Revenue'!J11*0.014,0)</f>
        <v>165</v>
      </c>
      <c r="K20" s="22">
        <f>ROUND('04_Revenue'!K11*0.014,0)</f>
        <v>175</v>
      </c>
      <c r="L20" s="22">
        <f>ROUND('04_Revenue'!L11*0.014,0)</f>
        <v>185</v>
      </c>
    </row>
    <row r="21" spans="1:12" ht="15" customHeight="1" x14ac:dyDescent="0.2">
      <c r="A21" s="31" t="s">
        <v>243</v>
      </c>
      <c r="B21" s="32">
        <f t="shared" ref="B21:L21" si="4">B18+B19+B20</f>
        <v>2500</v>
      </c>
      <c r="C21" s="32">
        <f t="shared" si="4"/>
        <v>2900</v>
      </c>
      <c r="D21" s="32">
        <f t="shared" si="4"/>
        <v>3123</v>
      </c>
      <c r="E21" s="32">
        <f t="shared" si="4"/>
        <v>3397</v>
      </c>
      <c r="F21" s="32">
        <f t="shared" si="4"/>
        <v>3697</v>
      </c>
      <c r="G21" s="32">
        <f t="shared" si="4"/>
        <v>4017</v>
      </c>
      <c r="H21" s="32">
        <f t="shared" si="4"/>
        <v>4277</v>
      </c>
      <c r="I21" s="32">
        <f t="shared" si="4"/>
        <v>4554</v>
      </c>
      <c r="J21" s="32">
        <f t="shared" si="4"/>
        <v>4850</v>
      </c>
      <c r="K21" s="32">
        <f t="shared" si="4"/>
        <v>5166</v>
      </c>
      <c r="L21" s="32">
        <f t="shared" si="4"/>
        <v>5502</v>
      </c>
    </row>
    <row r="23" spans="1:12" ht="15" customHeight="1" x14ac:dyDescent="0.2">
      <c r="A23" s="31" t="s">
        <v>105</v>
      </c>
      <c r="B23" s="22">
        <v>7746</v>
      </c>
      <c r="C23" s="22">
        <v>7746</v>
      </c>
      <c r="D23" s="56">
        <f>'10_CapAlloc'!D22</f>
        <v>8246</v>
      </c>
      <c r="E23" s="56">
        <f>'10_CapAlloc'!E22</f>
        <v>8746</v>
      </c>
      <c r="F23" s="56">
        <f>'10_CapAlloc'!F22</f>
        <v>9027</v>
      </c>
      <c r="G23" s="56">
        <f>'10_CapAlloc'!G22</f>
        <v>9240</v>
      </c>
      <c r="H23" s="56">
        <f>'10_CapAlloc'!H22</f>
        <v>9540</v>
      </c>
      <c r="I23" s="56">
        <f>'10_CapAlloc'!I22</f>
        <v>9840</v>
      </c>
      <c r="J23" s="56">
        <f>'10_CapAlloc'!J22</f>
        <v>9840</v>
      </c>
      <c r="K23" s="56">
        <f>'10_CapAlloc'!K22</f>
        <v>9840</v>
      </c>
      <c r="L23" s="56">
        <f>'10_CapAlloc'!L22</f>
        <v>9840</v>
      </c>
    </row>
    <row r="24" spans="1:12" ht="15" customHeight="1" x14ac:dyDescent="0.2">
      <c r="A24" t="s">
        <v>101</v>
      </c>
      <c r="B24" s="56">
        <f>'14_DeferredRev'!B10</f>
        <v>65</v>
      </c>
      <c r="C24" s="56">
        <f>'14_DeferredRev'!C10</f>
        <v>57</v>
      </c>
      <c r="D24" s="56">
        <f>'14_DeferredRev'!D10</f>
        <v>62.628699999999981</v>
      </c>
      <c r="E24" s="56">
        <f>'14_DeferredRev'!E10</f>
        <v>68.321211249999806</v>
      </c>
      <c r="F24" s="56">
        <f>'14_DeferredRev'!F10</f>
        <v>74.674317234374712</v>
      </c>
      <c r="G24" s="56">
        <f>'14_DeferredRev'!G10</f>
        <v>80.795819992382349</v>
      </c>
      <c r="H24" s="56">
        <f>'14_DeferredRev'!H10</f>
        <v>86.671527391849395</v>
      </c>
      <c r="I24" s="56">
        <f>'14_DeferredRev'!I10</f>
        <v>92.968534309278766</v>
      </c>
      <c r="J24" s="56">
        <f>'14_DeferredRev'!J10</f>
        <v>99.416331710928716</v>
      </c>
      <c r="K24" s="56">
        <f>'14_DeferredRev'!K10</f>
        <v>105.79547493069367</v>
      </c>
      <c r="L24" s="56">
        <f>'14_DeferredRev'!L10</f>
        <v>112.94115817584225</v>
      </c>
    </row>
    <row r="25" spans="1:12" ht="15" customHeight="1" x14ac:dyDescent="0.2">
      <c r="A25" t="s">
        <v>244</v>
      </c>
      <c r="B25" s="22">
        <v>1580</v>
      </c>
      <c r="C25" s="22">
        <v>1393</v>
      </c>
      <c r="D25" s="22">
        <v>1400</v>
      </c>
      <c r="E25" s="22">
        <v>1400</v>
      </c>
      <c r="F25" s="22">
        <v>1400</v>
      </c>
      <c r="G25" s="22">
        <v>1400</v>
      </c>
      <c r="H25" s="22">
        <v>1400</v>
      </c>
      <c r="I25" s="22">
        <v>1400</v>
      </c>
      <c r="J25" s="22">
        <v>1400</v>
      </c>
      <c r="K25" s="22">
        <v>1400</v>
      </c>
      <c r="L25" s="22">
        <v>1400</v>
      </c>
    </row>
    <row r="26" spans="1:12" ht="15" customHeight="1" x14ac:dyDescent="0.2">
      <c r="A26" s="31" t="s">
        <v>245</v>
      </c>
      <c r="B26" s="32">
        <f t="shared" ref="B26:L26" si="5">B21+B23+B24+B25</f>
        <v>11891</v>
      </c>
      <c r="C26" s="32">
        <f t="shared" si="5"/>
        <v>12096</v>
      </c>
      <c r="D26" s="32">
        <f t="shared" si="5"/>
        <v>12831.628699999999</v>
      </c>
      <c r="E26" s="32">
        <f t="shared" si="5"/>
        <v>13611.32121125</v>
      </c>
      <c r="F26" s="32">
        <f t="shared" si="5"/>
        <v>14198.674317234374</v>
      </c>
      <c r="G26" s="32">
        <f t="shared" si="5"/>
        <v>14737.795819992381</v>
      </c>
      <c r="H26" s="32">
        <f t="shared" si="5"/>
        <v>15303.671527391849</v>
      </c>
      <c r="I26" s="32">
        <f t="shared" si="5"/>
        <v>15886.968534309279</v>
      </c>
      <c r="J26" s="32">
        <f t="shared" si="5"/>
        <v>16189.416331710929</v>
      </c>
      <c r="K26" s="32">
        <f t="shared" si="5"/>
        <v>16511.795474930695</v>
      </c>
      <c r="L26" s="32">
        <f t="shared" si="5"/>
        <v>16854.941158175843</v>
      </c>
    </row>
    <row r="28" spans="1:12" ht="15" customHeight="1" x14ac:dyDescent="0.2">
      <c r="A28" s="60" t="s">
        <v>246</v>
      </c>
    </row>
    <row r="29" spans="1:12" ht="15" customHeight="1" x14ac:dyDescent="0.2">
      <c r="A29" s="31" t="s">
        <v>247</v>
      </c>
      <c r="B29" s="22">
        <v>2689</v>
      </c>
      <c r="C29" s="22">
        <v>3476</v>
      </c>
      <c r="D29" s="53">
        <f t="shared" ref="D29:L29" si="6">C33</f>
        <v>3727</v>
      </c>
      <c r="E29" s="53">
        <f t="shared" si="6"/>
        <v>2079.1023919999998</v>
      </c>
      <c r="F29" s="53">
        <f t="shared" si="6"/>
        <v>403.71095145500021</v>
      </c>
      <c r="G29" s="53">
        <f t="shared" si="6"/>
        <v>-799.92081624873663</v>
      </c>
      <c r="H29" s="53">
        <f t="shared" si="6"/>
        <v>-1491.3791704045916</v>
      </c>
      <c r="I29" s="53">
        <f t="shared" si="6"/>
        <v>-2286.3640004031076</v>
      </c>
      <c r="J29" s="53">
        <f t="shared" si="6"/>
        <v>-3100.0403946850379</v>
      </c>
      <c r="K29" s="53">
        <f t="shared" si="6"/>
        <v>-3635.6043940594004</v>
      </c>
      <c r="L29" s="53">
        <f t="shared" si="6"/>
        <v>-4190.2696437572977</v>
      </c>
    </row>
    <row r="30" spans="1:12" ht="15" customHeight="1" x14ac:dyDescent="0.2">
      <c r="A30" t="s">
        <v>248</v>
      </c>
      <c r="B30" s="22">
        <v>1607</v>
      </c>
      <c r="C30" s="22">
        <v>2058</v>
      </c>
      <c r="D30" s="56">
        <f>'10_CapAlloc'!D6</f>
        <v>2459.2587957599999</v>
      </c>
      <c r="E30" s="56">
        <f>'10_CapAlloc'!E6</f>
        <v>2663.5750816072127</v>
      </c>
      <c r="F30" s="56">
        <f>'10_CapAlloc'!F6</f>
        <v>2887.0981183017648</v>
      </c>
      <c r="G30" s="56">
        <f>'10_CapAlloc'!G6</f>
        <v>3131.7570018296974</v>
      </c>
      <c r="H30" s="56">
        <f>'10_CapAlloc'!H6</f>
        <v>3313.5026039992226</v>
      </c>
      <c r="I30" s="56">
        <f>'10_CapAlloc'!I6</f>
        <v>3501.9018349009807</v>
      </c>
      <c r="J30" s="56">
        <f>'10_CapAlloc'!J6</f>
        <v>3701.4334490478459</v>
      </c>
      <c r="K30" s="56">
        <f>'10_CapAlloc'!K6</f>
        <v>3921.2929977834656</v>
      </c>
      <c r="L30" s="56">
        <f>'10_CapAlloc'!L6</f>
        <v>4151.9953064145748</v>
      </c>
    </row>
    <row r="31" spans="1:12" ht="15" customHeight="1" x14ac:dyDescent="0.2">
      <c r="A31" s="28" t="s">
        <v>249</v>
      </c>
      <c r="B31" s="61">
        <v>-564</v>
      </c>
      <c r="C31" s="61">
        <v>-620</v>
      </c>
      <c r="D31" s="62">
        <f>'10_CapAlloc'!D16</f>
        <v>-738</v>
      </c>
      <c r="E31" s="62">
        <f>'10_CapAlloc'!E16</f>
        <v>-799</v>
      </c>
      <c r="F31" s="62">
        <f>'10_CapAlloc'!F16</f>
        <v>-866</v>
      </c>
      <c r="G31" s="62">
        <f>'10_CapAlloc'!G16</f>
        <v>-940</v>
      </c>
      <c r="H31" s="62">
        <f>'10_CapAlloc'!H16</f>
        <v>-994</v>
      </c>
      <c r="I31" s="62">
        <f>'10_CapAlloc'!I16</f>
        <v>-1051</v>
      </c>
      <c r="J31" s="62">
        <f>'10_CapAlloc'!J16</f>
        <v>-1110</v>
      </c>
      <c r="K31" s="62">
        <f>'10_CapAlloc'!K16</f>
        <v>-1176</v>
      </c>
      <c r="L31" s="62">
        <f>'10_CapAlloc'!L16</f>
        <v>-1246</v>
      </c>
    </row>
    <row r="32" spans="1:12" ht="15" customHeight="1" x14ac:dyDescent="0.2">
      <c r="A32" t="s">
        <v>250</v>
      </c>
      <c r="B32" s="61">
        <v>-490</v>
      </c>
      <c r="C32" s="61">
        <v>-1292</v>
      </c>
      <c r="D32" s="62">
        <f>'10_CapAlloc'!D19</f>
        <v>-3369.1564037600001</v>
      </c>
      <c r="E32" s="62">
        <f>'10_CapAlloc'!E19</f>
        <v>-3539.9665221522127</v>
      </c>
      <c r="F32" s="62">
        <f>'10_CapAlloc'!F19</f>
        <v>-3224.7298860055016</v>
      </c>
      <c r="G32" s="62">
        <f>'10_CapAlloc'!G19</f>
        <v>-2883.2153559855524</v>
      </c>
      <c r="H32" s="62">
        <f>'10_CapAlloc'!H19</f>
        <v>-3114.4874339977387</v>
      </c>
      <c r="I32" s="62">
        <f>'10_CapAlloc'!I19</f>
        <v>-3264.5782291829109</v>
      </c>
      <c r="J32" s="62">
        <f>'10_CapAlloc'!J19</f>
        <v>-3126.9974484222084</v>
      </c>
      <c r="K32" s="62">
        <f>'10_CapAlloc'!K19</f>
        <v>-3299.9582474813633</v>
      </c>
      <c r="L32" s="62">
        <f>'10_CapAlloc'!L19</f>
        <v>-3482.9944824770218</v>
      </c>
    </row>
    <row r="33" spans="1:12" ht="15" customHeight="1" x14ac:dyDescent="0.2">
      <c r="A33" s="11" t="s">
        <v>251</v>
      </c>
      <c r="B33" s="63">
        <v>3476</v>
      </c>
      <c r="C33" s="63">
        <v>3727</v>
      </c>
      <c r="D33" s="64">
        <f t="shared" ref="D33:L33" si="7">D29+D30+D31+D32</f>
        <v>2079.1023919999998</v>
      </c>
      <c r="E33" s="64">
        <f t="shared" si="7"/>
        <v>403.71095145500021</v>
      </c>
      <c r="F33" s="64">
        <f t="shared" si="7"/>
        <v>-799.92081624873663</v>
      </c>
      <c r="G33" s="64">
        <f t="shared" si="7"/>
        <v>-1491.3791704045916</v>
      </c>
      <c r="H33" s="64">
        <f t="shared" si="7"/>
        <v>-2286.3640004031076</v>
      </c>
      <c r="I33" s="64">
        <f t="shared" si="7"/>
        <v>-3100.0403946850379</v>
      </c>
      <c r="J33" s="64">
        <f t="shared" si="7"/>
        <v>-3635.6043940594004</v>
      </c>
      <c r="K33" s="64">
        <f t="shared" si="7"/>
        <v>-4190.2696437572977</v>
      </c>
      <c r="L33" s="64">
        <f t="shared" si="7"/>
        <v>-4767.2688198197447</v>
      </c>
    </row>
    <row r="34" spans="1:12" ht="15" customHeight="1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</row>
    <row r="35" spans="1:12" ht="15" customHeight="1" x14ac:dyDescent="0.2">
      <c r="A35" s="28" t="s">
        <v>252</v>
      </c>
      <c r="B35" s="66">
        <f t="shared" ref="B35:L35" si="8">ROUND(B15-B26-B33,0)</f>
        <v>0</v>
      </c>
      <c r="C35" s="66">
        <f t="shared" si="8"/>
        <v>0</v>
      </c>
      <c r="D35" s="66">
        <f t="shared" si="8"/>
        <v>0</v>
      </c>
      <c r="E35" s="66">
        <f t="shared" si="8"/>
        <v>0</v>
      </c>
      <c r="F35" s="66">
        <f t="shared" si="8"/>
        <v>0</v>
      </c>
      <c r="G35" s="66">
        <f t="shared" si="8"/>
        <v>0</v>
      </c>
      <c r="H35" s="66">
        <f t="shared" si="8"/>
        <v>0</v>
      </c>
      <c r="I35" s="66">
        <f t="shared" si="8"/>
        <v>0</v>
      </c>
      <c r="J35" s="66">
        <f t="shared" si="8"/>
        <v>0</v>
      </c>
      <c r="K35" s="66">
        <f t="shared" si="8"/>
        <v>0</v>
      </c>
      <c r="L35" s="66">
        <f t="shared" si="8"/>
        <v>0</v>
      </c>
    </row>
    <row r="37" spans="1:12" ht="15" customHeight="1" x14ac:dyDescent="0.2">
      <c r="A37" s="11" t="s">
        <v>106</v>
      </c>
      <c r="B37" s="55">
        <f t="shared" ref="B37:L37" si="9">B23-B6</f>
        <v>5553</v>
      </c>
      <c r="C37" s="55">
        <f t="shared" si="9"/>
        <v>4772</v>
      </c>
      <c r="D37" s="55">
        <f t="shared" si="9"/>
        <v>6022</v>
      </c>
      <c r="E37" s="55">
        <f t="shared" si="9"/>
        <v>7272</v>
      </c>
      <c r="F37" s="55">
        <f t="shared" si="9"/>
        <v>8027</v>
      </c>
      <c r="G37" s="55">
        <f t="shared" si="9"/>
        <v>8240</v>
      </c>
      <c r="H37" s="55">
        <f t="shared" si="9"/>
        <v>8540</v>
      </c>
      <c r="I37" s="55">
        <f t="shared" si="9"/>
        <v>8840</v>
      </c>
      <c r="J37" s="55">
        <f t="shared" si="9"/>
        <v>8840</v>
      </c>
      <c r="K37" s="55">
        <f t="shared" si="9"/>
        <v>8840</v>
      </c>
      <c r="L37" s="55">
        <f t="shared" si="9"/>
        <v>8840</v>
      </c>
    </row>
    <row r="38" spans="1:12" ht="15" customHeight="1" x14ac:dyDescent="0.2">
      <c r="A38" t="s">
        <v>125</v>
      </c>
      <c r="B38" s="67">
        <f>IF('05_IncStmt'!B25=0,0,B37/'05_IncStmt'!B25)</f>
        <v>1.8696969696969696</v>
      </c>
      <c r="C38" s="67">
        <f>IF('05_IncStmt'!C25=0,0,C37/'05_IncStmt'!C25)</f>
        <v>1.2430320395936443</v>
      </c>
      <c r="D38" s="67">
        <f>IF('05_IncStmt'!D25=0,0,D37/'05_IncStmt'!D25)</f>
        <v>1.437079457829487</v>
      </c>
      <c r="E38" s="67">
        <f>IF('05_IncStmt'!E25=0,0,E37/'05_IncStmt'!E25)</f>
        <v>1.6054475951199203</v>
      </c>
      <c r="F38" s="67">
        <f>IF('05_IncStmt'!F25=0,0,F37/'05_IncStmt'!F25)</f>
        <v>1.6394281749001653</v>
      </c>
      <c r="G38" s="67">
        <f>IF('05_IncStmt'!G25=0,0,G37/'05_IncStmt'!G25)</f>
        <v>1.5596865225100374</v>
      </c>
      <c r="H38" s="67">
        <f>IF('05_IncStmt'!H25=0,0,H37/'05_IncStmt'!H25)</f>
        <v>1.5383676919560993</v>
      </c>
      <c r="I38" s="67">
        <f>IF('05_IncStmt'!I25=0,0,I37/'05_IncStmt'!I25)</f>
        <v>1.515461590359467</v>
      </c>
      <c r="J38" s="67">
        <f>IF('05_IncStmt'!J25=0,0,J37/'05_IncStmt'!J25)</f>
        <v>1.441964045451763</v>
      </c>
      <c r="K38" s="67">
        <f>IF('05_IncStmt'!K25=0,0,K37/'05_IncStmt'!K25)</f>
        <v>1.3717835800907729</v>
      </c>
      <c r="L38" s="67">
        <f>IF('05_IncStmt'!L25=0,0,L37/'05_IncStmt'!L25)</f>
        <v>1.3047896965514756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DC3E6"/>
  </sheetPr>
  <dimension ref="A1:L3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</cols>
  <sheetData>
    <row r="1" spans="1:12" ht="17.25" customHeight="1" x14ac:dyDescent="0.2">
      <c r="A1" s="27" t="str">
        <f>IF('11_Scenarios'!B4=1,"ACTIVE SCENARIO: BASE",IF('11_Scenarios'!B4=2,"ACTIVE SCENARIO: DOWNSIDE","ACTIVE SCENARIO: UPSIDE"))</f>
        <v>ACTIVE SCENARIO: BASE</v>
      </c>
    </row>
    <row r="2" spans="1:12" ht="15" customHeight="1" x14ac:dyDescent="0.2">
      <c r="A2" s="28" t="s">
        <v>253</v>
      </c>
    </row>
    <row r="3" spans="1:12" ht="15" customHeight="1" x14ac:dyDescent="0.2">
      <c r="A3" t="s">
        <v>254</v>
      </c>
    </row>
    <row r="4" spans="1:12" ht="15" customHeight="1" x14ac:dyDescent="0.2">
      <c r="A4" s="29" t="s">
        <v>71</v>
      </c>
      <c r="B4" s="29" t="s">
        <v>72</v>
      </c>
      <c r="C4" s="29" t="s">
        <v>73</v>
      </c>
      <c r="D4" s="29" t="s">
        <v>160</v>
      </c>
      <c r="E4" s="29" t="s">
        <v>161</v>
      </c>
      <c r="F4" s="29" t="s">
        <v>162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  <c r="L4" s="29" t="s">
        <v>168</v>
      </c>
    </row>
    <row r="5" spans="1:12" ht="15" customHeight="1" x14ac:dyDescent="0.2">
      <c r="A5" s="30" t="s">
        <v>255</v>
      </c>
    </row>
    <row r="6" spans="1:12" ht="15" customHeight="1" x14ac:dyDescent="0.2">
      <c r="A6" t="s">
        <v>226</v>
      </c>
      <c r="B6" s="22">
        <v>1607</v>
      </c>
      <c r="C6" s="22">
        <v>2058</v>
      </c>
      <c r="D6" s="56">
        <f>'10_CapAlloc'!D6</f>
        <v>2459.2587957599999</v>
      </c>
      <c r="E6" s="56">
        <f>'10_CapAlloc'!E6</f>
        <v>2663.5750816072127</v>
      </c>
      <c r="F6" s="56">
        <f>'10_CapAlloc'!F6</f>
        <v>2887.0981183017648</v>
      </c>
      <c r="G6" s="56">
        <f>'10_CapAlloc'!G6</f>
        <v>3131.7570018296974</v>
      </c>
      <c r="H6" s="56">
        <f>'10_CapAlloc'!H6</f>
        <v>3313.5026039992226</v>
      </c>
      <c r="I6" s="56">
        <f>'10_CapAlloc'!I6</f>
        <v>3501.9018349009807</v>
      </c>
      <c r="J6" s="56">
        <f>'10_CapAlloc'!J6</f>
        <v>3701.4334490478459</v>
      </c>
      <c r="K6" s="56">
        <f>'10_CapAlloc'!K6</f>
        <v>3921.2929977834656</v>
      </c>
      <c r="L6" s="56">
        <f>'10_CapAlloc'!L6</f>
        <v>4151.9953064145748</v>
      </c>
    </row>
    <row r="7" spans="1:12" ht="15" customHeight="1" x14ac:dyDescent="0.2">
      <c r="A7" t="s">
        <v>227</v>
      </c>
      <c r="B7" s="22">
        <v>373</v>
      </c>
      <c r="C7" s="22">
        <v>431</v>
      </c>
      <c r="D7" s="56">
        <f>'05_IncStmt'!D24</f>
        <v>462</v>
      </c>
      <c r="E7" s="56">
        <f>'05_IncStmt'!E24</f>
        <v>486</v>
      </c>
      <c r="F7" s="56">
        <f>'05_IncStmt'!F24</f>
        <v>511</v>
      </c>
      <c r="G7" s="56">
        <f>'05_IncStmt'!G24</f>
        <v>545</v>
      </c>
      <c r="H7" s="56">
        <f>'05_IncStmt'!H24</f>
        <v>567</v>
      </c>
      <c r="I7" s="56">
        <f>'05_IncStmt'!I24</f>
        <v>589</v>
      </c>
      <c r="J7" s="56">
        <f>'05_IncStmt'!J24</f>
        <v>612</v>
      </c>
      <c r="K7" s="56">
        <f>'05_IncStmt'!K24</f>
        <v>636</v>
      </c>
      <c r="L7" s="56">
        <f>'05_IncStmt'!L24</f>
        <v>661</v>
      </c>
    </row>
    <row r="8" spans="1:12" ht="15" customHeight="1" x14ac:dyDescent="0.2">
      <c r="A8" t="s">
        <v>92</v>
      </c>
      <c r="B8" s="22">
        <v>210</v>
      </c>
      <c r="C8" s="22">
        <v>220</v>
      </c>
      <c r="D8" s="56">
        <f>'10_CapAlloc'!D8</f>
        <v>238.54741799999999</v>
      </c>
      <c r="E8" s="56">
        <f>'10_CapAlloc'!E8</f>
        <v>259.73808513250003</v>
      </c>
      <c r="F8" s="56">
        <f>'10_CapAlloc'!F8</f>
        <v>282.8115347642688</v>
      </c>
      <c r="G8" s="56">
        <f>'10_CapAlloc'!G8</f>
        <v>307.03982904762404</v>
      </c>
      <c r="H8" s="56">
        <f>'10_CapAlloc'!H8</f>
        <v>325.25837138782106</v>
      </c>
      <c r="I8" s="56">
        <f>'10_CapAlloc'!I8</f>
        <v>344.58849940717505</v>
      </c>
      <c r="J8" s="56">
        <f>'10_CapAlloc'!J8</f>
        <v>365.09983848899424</v>
      </c>
      <c r="K8" s="56">
        <f>'10_CapAlloc'!K8</f>
        <v>386.86647851270646</v>
      </c>
      <c r="L8" s="56">
        <f>'10_CapAlloc'!L8</f>
        <v>409.96726590455273</v>
      </c>
    </row>
    <row r="9" spans="1:12" ht="15" customHeight="1" x14ac:dyDescent="0.2">
      <c r="A9" t="s">
        <v>256</v>
      </c>
      <c r="B9" s="61">
        <v>24</v>
      </c>
      <c r="C9" s="61">
        <v>154</v>
      </c>
      <c r="D9" s="62">
        <f>'14_DeferredRev'!D12</f>
        <v>142.62869999999998</v>
      </c>
      <c r="E9" s="62">
        <f>'14_DeferredRev'!E12</f>
        <v>144.69251124999982</v>
      </c>
      <c r="F9" s="62">
        <f>'14_DeferredRev'!F12</f>
        <v>157.35310598437491</v>
      </c>
      <c r="G9" s="62">
        <f>'14_DeferredRev'!G12</f>
        <v>171.12150275800764</v>
      </c>
      <c r="H9" s="62">
        <f>'14_DeferredRev'!H12</f>
        <v>148.87570739946705</v>
      </c>
      <c r="I9" s="62">
        <f>'14_DeferredRev'!I12</f>
        <v>159.29700691742937</v>
      </c>
      <c r="J9" s="62">
        <f>'14_DeferredRev'!J12</f>
        <v>170.44779740164995</v>
      </c>
      <c r="K9" s="62">
        <f>'14_DeferredRev'!K12</f>
        <v>182.37914321976496</v>
      </c>
      <c r="L9" s="62">
        <f>'14_DeferredRev'!L12</f>
        <v>195.14568324514858</v>
      </c>
    </row>
    <row r="10" spans="1:12" ht="15" customHeight="1" x14ac:dyDescent="0.2">
      <c r="A10" t="s">
        <v>257</v>
      </c>
      <c r="B10" s="61">
        <v>-62</v>
      </c>
      <c r="C10" s="61">
        <v>-4</v>
      </c>
      <c r="D10" s="62">
        <f>'10_CapAlloc'!D10</f>
        <v>-99</v>
      </c>
      <c r="E10" s="62">
        <f>'10_CapAlloc'!E10</f>
        <v>-88</v>
      </c>
      <c r="F10" s="62">
        <f>'10_CapAlloc'!F10</f>
        <v>-92</v>
      </c>
      <c r="G10" s="62">
        <f>'10_CapAlloc'!G10</f>
        <v>-99</v>
      </c>
      <c r="H10" s="62">
        <f>'10_CapAlloc'!H10</f>
        <v>-74</v>
      </c>
      <c r="I10" s="62">
        <f>'10_CapAlloc'!I10</f>
        <v>-79</v>
      </c>
      <c r="J10" s="62">
        <f>'10_CapAlloc'!J10</f>
        <v>-82</v>
      </c>
      <c r="K10" s="62">
        <f>'10_CapAlloc'!K10</f>
        <v>-89</v>
      </c>
      <c r="L10" s="62">
        <f>'10_CapAlloc'!L10</f>
        <v>-94</v>
      </c>
    </row>
    <row r="11" spans="1:12" ht="15" customHeight="1" x14ac:dyDescent="0.2">
      <c r="A11" t="s">
        <v>258</v>
      </c>
      <c r="B11" s="61">
        <v>-1</v>
      </c>
      <c r="C11" s="61">
        <v>-7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</row>
    <row r="12" spans="1:12" ht="15" customHeight="1" x14ac:dyDescent="0.2">
      <c r="A12" s="31" t="s">
        <v>110</v>
      </c>
      <c r="B12" s="32">
        <f t="shared" ref="B12:L12" si="0">SUM(B6:B11)</f>
        <v>2151</v>
      </c>
      <c r="C12" s="32">
        <f t="shared" si="0"/>
        <v>2852</v>
      </c>
      <c r="D12" s="32">
        <f t="shared" si="0"/>
        <v>3203.4349137600002</v>
      </c>
      <c r="E12" s="32">
        <f t="shared" si="0"/>
        <v>3466.0056779897127</v>
      </c>
      <c r="F12" s="32">
        <f t="shared" si="0"/>
        <v>3746.2627590504085</v>
      </c>
      <c r="G12" s="32">
        <f t="shared" si="0"/>
        <v>4055.918333635329</v>
      </c>
      <c r="H12" s="32">
        <f t="shared" si="0"/>
        <v>4280.6366827865113</v>
      </c>
      <c r="I12" s="32">
        <f t="shared" si="0"/>
        <v>4515.7873412255849</v>
      </c>
      <c r="J12" s="32">
        <f t="shared" si="0"/>
        <v>4766.9810849384903</v>
      </c>
      <c r="K12" s="32">
        <f t="shared" si="0"/>
        <v>5037.5386195159372</v>
      </c>
      <c r="L12" s="32">
        <f t="shared" si="0"/>
        <v>5324.1082555642761</v>
      </c>
    </row>
    <row r="14" spans="1:12" ht="15" customHeight="1" x14ac:dyDescent="0.2">
      <c r="A14" s="30" t="s">
        <v>259</v>
      </c>
    </row>
    <row r="15" spans="1:12" ht="15" customHeight="1" x14ac:dyDescent="0.2">
      <c r="A15" t="s">
        <v>111</v>
      </c>
      <c r="B15" s="61">
        <v>-271</v>
      </c>
      <c r="C15" s="61">
        <v>-317</v>
      </c>
      <c r="D15" s="62">
        <f>'10_CapAlloc'!D12</f>
        <v>-346.27850999999998</v>
      </c>
      <c r="E15" s="62">
        <f>'10_CapAlloc'!E12</f>
        <v>-377.0391558375</v>
      </c>
      <c r="F15" s="62">
        <f>'10_CapAlloc'!F12</f>
        <v>-410.5328730449063</v>
      </c>
      <c r="G15" s="62">
        <f>'10_CapAlloc'!G12</f>
        <v>-445.70297764977681</v>
      </c>
      <c r="H15" s="62">
        <f>'10_CapAlloc'!H12</f>
        <v>-472.14924878877252</v>
      </c>
      <c r="I15" s="62">
        <f>'10_CapAlloc'!I12</f>
        <v>-500.20911204267344</v>
      </c>
      <c r="J15" s="62">
        <f>'10_CapAlloc'!J12</f>
        <v>-529.98363651628188</v>
      </c>
      <c r="K15" s="62">
        <f>'10_CapAlloc'!K12</f>
        <v>-561.58037203457388</v>
      </c>
      <c r="L15" s="62">
        <f>'10_CapAlloc'!L12</f>
        <v>-595.113773087254</v>
      </c>
    </row>
    <row r="16" spans="1:12" ht="15" customHeight="1" x14ac:dyDescent="0.2">
      <c r="A16" t="s">
        <v>260</v>
      </c>
      <c r="B16" s="61">
        <v>24</v>
      </c>
      <c r="C16" s="61">
        <v>-739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</row>
    <row r="17" spans="1:12" ht="15" customHeight="1" x14ac:dyDescent="0.2">
      <c r="A17" s="31" t="s">
        <v>261</v>
      </c>
      <c r="B17" s="68">
        <f t="shared" ref="B17:L17" si="1">B15+B16</f>
        <v>-247</v>
      </c>
      <c r="C17" s="68">
        <f t="shared" si="1"/>
        <v>-1056</v>
      </c>
      <c r="D17" s="68">
        <f t="shared" si="1"/>
        <v>-346.27850999999998</v>
      </c>
      <c r="E17" s="68">
        <f t="shared" si="1"/>
        <v>-377.0391558375</v>
      </c>
      <c r="F17" s="68">
        <f t="shared" si="1"/>
        <v>-410.5328730449063</v>
      </c>
      <c r="G17" s="68">
        <f t="shared" si="1"/>
        <v>-445.70297764977681</v>
      </c>
      <c r="H17" s="68">
        <f t="shared" si="1"/>
        <v>-472.14924878877252</v>
      </c>
      <c r="I17" s="68">
        <f t="shared" si="1"/>
        <v>-500.20911204267344</v>
      </c>
      <c r="J17" s="68">
        <f t="shared" si="1"/>
        <v>-529.98363651628188</v>
      </c>
      <c r="K17" s="68">
        <f t="shared" si="1"/>
        <v>-561.58037203457388</v>
      </c>
      <c r="L17" s="68">
        <f t="shared" si="1"/>
        <v>-595.113773087254</v>
      </c>
    </row>
    <row r="19" spans="1:12" ht="15" customHeight="1" x14ac:dyDescent="0.2">
      <c r="A19" s="30" t="s">
        <v>262</v>
      </c>
    </row>
    <row r="20" spans="1:12" ht="15" customHeight="1" x14ac:dyDescent="0.2">
      <c r="A20" t="s">
        <v>115</v>
      </c>
      <c r="B20" s="61">
        <v>-500</v>
      </c>
      <c r="C20" s="61">
        <v>496</v>
      </c>
      <c r="D20" s="62">
        <f>'10_CapAlloc'!D17</f>
        <v>500</v>
      </c>
      <c r="E20" s="62">
        <f>'10_CapAlloc'!E17</f>
        <v>500</v>
      </c>
      <c r="F20" s="62">
        <f>'10_CapAlloc'!F17</f>
        <v>281</v>
      </c>
      <c r="G20" s="62">
        <f>'10_CapAlloc'!G17</f>
        <v>213</v>
      </c>
      <c r="H20" s="62">
        <f>'10_CapAlloc'!H17</f>
        <v>300</v>
      </c>
      <c r="I20" s="62">
        <f>'10_CapAlloc'!I17</f>
        <v>300</v>
      </c>
      <c r="J20" s="62">
        <f>'10_CapAlloc'!J17</f>
        <v>0</v>
      </c>
      <c r="K20" s="62">
        <f>'10_CapAlloc'!K17</f>
        <v>0</v>
      </c>
      <c r="L20" s="62">
        <f>'10_CapAlloc'!L17</f>
        <v>0</v>
      </c>
    </row>
    <row r="21" spans="1:12" ht="15" customHeight="1" x14ac:dyDescent="0.2">
      <c r="A21" t="s">
        <v>113</v>
      </c>
      <c r="B21" s="61">
        <v>-490</v>
      </c>
      <c r="C21" s="61">
        <v>-1292</v>
      </c>
      <c r="D21" s="62">
        <f>'10_CapAlloc'!D19</f>
        <v>-3369.1564037600001</v>
      </c>
      <c r="E21" s="62">
        <f>'10_CapAlloc'!E19</f>
        <v>-3539.9665221522127</v>
      </c>
      <c r="F21" s="62">
        <f>'10_CapAlloc'!F19</f>
        <v>-3224.7298860055016</v>
      </c>
      <c r="G21" s="62">
        <f>'10_CapAlloc'!G19</f>
        <v>-2883.2153559855524</v>
      </c>
      <c r="H21" s="62">
        <f>'10_CapAlloc'!H19</f>
        <v>-3114.4874339977387</v>
      </c>
      <c r="I21" s="62">
        <f>'10_CapAlloc'!I19</f>
        <v>-3264.5782291829109</v>
      </c>
      <c r="J21" s="62">
        <f>'10_CapAlloc'!J19</f>
        <v>-3126.9974484222084</v>
      </c>
      <c r="K21" s="62">
        <f>'10_CapAlloc'!K19</f>
        <v>-3299.9582474813633</v>
      </c>
      <c r="L21" s="62">
        <f>'10_CapAlloc'!L19</f>
        <v>-3482.9944824770218</v>
      </c>
    </row>
    <row r="22" spans="1:12" ht="15" customHeight="1" x14ac:dyDescent="0.2">
      <c r="A22" t="s">
        <v>114</v>
      </c>
      <c r="B22" s="61">
        <v>-564</v>
      </c>
      <c r="C22" s="61">
        <v>-620</v>
      </c>
      <c r="D22" s="62">
        <f>'10_CapAlloc'!D16</f>
        <v>-738</v>
      </c>
      <c r="E22" s="62">
        <f>'10_CapAlloc'!E16</f>
        <v>-799</v>
      </c>
      <c r="F22" s="62">
        <f>'10_CapAlloc'!F16</f>
        <v>-866</v>
      </c>
      <c r="G22" s="62">
        <f>'10_CapAlloc'!G16</f>
        <v>-940</v>
      </c>
      <c r="H22" s="62">
        <f>'10_CapAlloc'!H16</f>
        <v>-994</v>
      </c>
      <c r="I22" s="62">
        <f>'10_CapAlloc'!I16</f>
        <v>-1051</v>
      </c>
      <c r="J22" s="62">
        <f>'10_CapAlloc'!J16</f>
        <v>-1110</v>
      </c>
      <c r="K22" s="62">
        <f>'10_CapAlloc'!K16</f>
        <v>-1176</v>
      </c>
      <c r="L22" s="62">
        <f>'10_CapAlloc'!L16</f>
        <v>-1246</v>
      </c>
    </row>
    <row r="23" spans="1:12" ht="15" customHeight="1" x14ac:dyDescent="0.2">
      <c r="A23" t="s">
        <v>263</v>
      </c>
      <c r="B23" s="61">
        <v>-30</v>
      </c>
      <c r="C23" s="61">
        <v>-30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</row>
    <row r="24" spans="1:12" ht="15" customHeight="1" x14ac:dyDescent="0.2">
      <c r="A24" s="31" t="s">
        <v>264</v>
      </c>
      <c r="B24" s="68">
        <f t="shared" ref="B24:L24" si="2">SUM(B20:B23)</f>
        <v>-1584</v>
      </c>
      <c r="C24" s="68">
        <f t="shared" si="2"/>
        <v>-1446</v>
      </c>
      <c r="D24" s="68">
        <f t="shared" si="2"/>
        <v>-3607.1564037600001</v>
      </c>
      <c r="E24" s="68">
        <f t="shared" si="2"/>
        <v>-3838.9665221522127</v>
      </c>
      <c r="F24" s="68">
        <f t="shared" si="2"/>
        <v>-3809.7298860055016</v>
      </c>
      <c r="G24" s="68">
        <f t="shared" si="2"/>
        <v>-3610.2153559855524</v>
      </c>
      <c r="H24" s="68">
        <f t="shared" si="2"/>
        <v>-3808.4874339977387</v>
      </c>
      <c r="I24" s="68">
        <f t="shared" si="2"/>
        <v>-4015.5782291829109</v>
      </c>
      <c r="J24" s="68">
        <f t="shared" si="2"/>
        <v>-4236.9974484222084</v>
      </c>
      <c r="K24" s="68">
        <f t="shared" si="2"/>
        <v>-4475.9582474813633</v>
      </c>
      <c r="L24" s="68">
        <f t="shared" si="2"/>
        <v>-4728.9944824770218</v>
      </c>
    </row>
    <row r="26" spans="1:12" ht="15" customHeight="1" x14ac:dyDescent="0.2">
      <c r="A26" s="31" t="s">
        <v>265</v>
      </c>
      <c r="B26" s="69">
        <f t="shared" ref="B26:L26" si="3">B12+B17+B24</f>
        <v>320</v>
      </c>
      <c r="C26" s="69">
        <f t="shared" si="3"/>
        <v>350</v>
      </c>
      <c r="D26" s="69">
        <f t="shared" si="3"/>
        <v>-750</v>
      </c>
      <c r="E26" s="69">
        <f t="shared" si="3"/>
        <v>-750</v>
      </c>
      <c r="F26" s="69">
        <f t="shared" si="3"/>
        <v>-473.99999999999955</v>
      </c>
      <c r="G26" s="69">
        <f t="shared" si="3"/>
        <v>0</v>
      </c>
      <c r="H26" s="69">
        <f t="shared" si="3"/>
        <v>0</v>
      </c>
      <c r="I26" s="69">
        <f t="shared" si="3"/>
        <v>0</v>
      </c>
      <c r="J26" s="69">
        <f t="shared" si="3"/>
        <v>0</v>
      </c>
      <c r="K26" s="69">
        <f t="shared" si="3"/>
        <v>0</v>
      </c>
      <c r="L26" s="69">
        <f t="shared" si="3"/>
        <v>0</v>
      </c>
    </row>
    <row r="28" spans="1:12" ht="15" customHeight="1" x14ac:dyDescent="0.2">
      <c r="A28" s="51" t="s">
        <v>266</v>
      </c>
      <c r="B28" s="70">
        <v>2130</v>
      </c>
      <c r="C28" s="70">
        <v>2408</v>
      </c>
      <c r="D28" s="71">
        <f>'10_CapAlloc'!C30</f>
        <v>2974</v>
      </c>
      <c r="E28" s="71">
        <f>'10_CapAlloc'!D30</f>
        <v>2224</v>
      </c>
      <c r="F28" s="71">
        <f>'10_CapAlloc'!E30</f>
        <v>1474</v>
      </c>
      <c r="G28" s="71">
        <f>'10_CapAlloc'!F30</f>
        <v>1000</v>
      </c>
      <c r="H28" s="71">
        <f>'10_CapAlloc'!G30</f>
        <v>1000</v>
      </c>
      <c r="I28" s="71">
        <f>'10_CapAlloc'!H30</f>
        <v>1000</v>
      </c>
      <c r="J28" s="71">
        <f>'10_CapAlloc'!I30</f>
        <v>1000</v>
      </c>
      <c r="K28" s="71">
        <f>'10_CapAlloc'!J30</f>
        <v>1000</v>
      </c>
      <c r="L28" s="71">
        <f>'10_CapAlloc'!K30</f>
        <v>1000</v>
      </c>
    </row>
    <row r="29" spans="1:12" ht="15" customHeight="1" x14ac:dyDescent="0.2">
      <c r="A29" s="51" t="s">
        <v>267</v>
      </c>
      <c r="B29" s="72">
        <f t="shared" ref="B29:L29" si="4">B28+B26</f>
        <v>2450</v>
      </c>
      <c r="C29" s="72">
        <f t="shared" si="4"/>
        <v>2758</v>
      </c>
      <c r="D29" s="72">
        <f t="shared" si="4"/>
        <v>2224</v>
      </c>
      <c r="E29" s="72">
        <f t="shared" si="4"/>
        <v>1474</v>
      </c>
      <c r="F29" s="72">
        <f t="shared" si="4"/>
        <v>1000.0000000000005</v>
      </c>
      <c r="G29" s="72">
        <f t="shared" si="4"/>
        <v>1000</v>
      </c>
      <c r="H29" s="72">
        <f t="shared" si="4"/>
        <v>1000</v>
      </c>
      <c r="I29" s="72">
        <f t="shared" si="4"/>
        <v>1000</v>
      </c>
      <c r="J29" s="72">
        <f t="shared" si="4"/>
        <v>1000</v>
      </c>
      <c r="K29" s="72">
        <f t="shared" si="4"/>
        <v>1000</v>
      </c>
      <c r="L29" s="72">
        <f t="shared" si="4"/>
        <v>1000</v>
      </c>
    </row>
    <row r="30" spans="1:12" ht="15" customHeight="1" x14ac:dyDescent="0.2">
      <c r="A30" s="58" t="s">
        <v>268</v>
      </c>
      <c r="B30" s="45">
        <f>ROUND(B29-B31,0)</f>
        <v>257</v>
      </c>
      <c r="C30" s="45">
        <f>ROUND(C29-C31,0)</f>
        <v>-216</v>
      </c>
      <c r="D30" s="73">
        <f>D29-'10_CapAlloc'!D30</f>
        <v>0</v>
      </c>
      <c r="E30" s="73">
        <f>E29-'10_CapAlloc'!E30</f>
        <v>0</v>
      </c>
      <c r="F30" s="73">
        <f>F29-'10_CapAlloc'!F30</f>
        <v>0</v>
      </c>
      <c r="G30" s="73">
        <f>G29-'10_CapAlloc'!G30</f>
        <v>0</v>
      </c>
      <c r="H30" s="73">
        <f>H29-'10_CapAlloc'!H30</f>
        <v>0</v>
      </c>
      <c r="I30" s="73">
        <f>I29-'10_CapAlloc'!I30</f>
        <v>0</v>
      </c>
      <c r="J30" s="73">
        <f>J29-'10_CapAlloc'!J30</f>
        <v>0</v>
      </c>
      <c r="K30" s="73">
        <f>K29-'10_CapAlloc'!K30</f>
        <v>0</v>
      </c>
      <c r="L30" s="73">
        <f>L29-'10_CapAlloc'!L30</f>
        <v>0</v>
      </c>
    </row>
    <row r="31" spans="1:12" ht="15" customHeight="1" x14ac:dyDescent="0.2">
      <c r="A31" s="58" t="s">
        <v>269</v>
      </c>
      <c r="B31" s="74">
        <f>'06_BS'!B6</f>
        <v>2193</v>
      </c>
      <c r="C31" s="74">
        <f>'06_BS'!C6</f>
        <v>2974</v>
      </c>
      <c r="D31" s="74">
        <f>'06_BS'!D6</f>
        <v>2224</v>
      </c>
      <c r="E31" s="74">
        <f>'06_BS'!E6</f>
        <v>1474</v>
      </c>
      <c r="F31" s="74">
        <f>'06_BS'!F6</f>
        <v>1000</v>
      </c>
      <c r="G31" s="74">
        <f>'06_BS'!G6</f>
        <v>1000</v>
      </c>
      <c r="H31" s="74">
        <f>'06_BS'!H6</f>
        <v>1000</v>
      </c>
      <c r="I31" s="74">
        <f>'06_BS'!I6</f>
        <v>1000</v>
      </c>
      <c r="J31" s="74">
        <f>'06_BS'!J6</f>
        <v>1000</v>
      </c>
      <c r="K31" s="74">
        <f>'06_BS'!K6</f>
        <v>1000</v>
      </c>
      <c r="L31" s="74">
        <f>'06_BS'!L6</f>
        <v>1000</v>
      </c>
    </row>
    <row r="32" spans="1:12" ht="15" customHeight="1" x14ac:dyDescent="0.2">
      <c r="A32" s="51" t="s">
        <v>270</v>
      </c>
      <c r="B32" s="75">
        <f t="shared" ref="B32:L32" si="5">B12+B15</f>
        <v>1880</v>
      </c>
      <c r="C32" s="75">
        <f t="shared" si="5"/>
        <v>2535</v>
      </c>
      <c r="D32" s="75">
        <f t="shared" si="5"/>
        <v>2857.1564037600001</v>
      </c>
      <c r="E32" s="75">
        <f t="shared" si="5"/>
        <v>3088.9665221522127</v>
      </c>
      <c r="F32" s="75">
        <f t="shared" si="5"/>
        <v>3335.7298860055021</v>
      </c>
      <c r="G32" s="75">
        <f t="shared" si="5"/>
        <v>3610.2153559855524</v>
      </c>
      <c r="H32" s="75">
        <f t="shared" si="5"/>
        <v>3808.4874339977387</v>
      </c>
      <c r="I32" s="75">
        <f t="shared" si="5"/>
        <v>4015.5782291829114</v>
      </c>
      <c r="J32" s="75">
        <f t="shared" si="5"/>
        <v>4236.9974484222084</v>
      </c>
      <c r="K32" s="75">
        <f t="shared" si="5"/>
        <v>4475.9582474813633</v>
      </c>
      <c r="L32" s="75">
        <f t="shared" si="5"/>
        <v>4728.9944824770218</v>
      </c>
    </row>
    <row r="33" spans="1:12" ht="15" customHeight="1" x14ac:dyDescent="0.2">
      <c r="A33" s="51" t="s">
        <v>271</v>
      </c>
      <c r="B33" s="76">
        <f>IF('04_Revenue'!B11=0,0,B28/'04_Revenue'!B11)</f>
        <v>0.36004056795131845</v>
      </c>
      <c r="C33" s="76">
        <f>IF('04_Revenue'!C11=0,0,C28/'04_Revenue'!C11)</f>
        <v>0.33972911963882618</v>
      </c>
      <c r="D33" s="76">
        <f>IF('04_Revenue'!D11=0,0,D28/'04_Revenue'!D11)</f>
        <v>0.38648081280007818</v>
      </c>
      <c r="E33" s="76">
        <f>IF('04_Revenue'!E11=0,0,E28/'04_Revenue'!E11)</f>
        <v>0.2654366222990735</v>
      </c>
      <c r="F33" s="76">
        <f>IF('04_Revenue'!F11=0,0,F28/'04_Revenue'!F11)</f>
        <v>0.16157049618958155</v>
      </c>
      <c r="G33" s="76">
        <f>IF('04_Revenue'!G11=0,0,G28/'04_Revenue'!G11)</f>
        <v>0.10096409998714428</v>
      </c>
      <c r="H33" s="76">
        <f>IF('04_Revenue'!H11=0,0,H28/'04_Revenue'!H11)</f>
        <v>9.5308845911416126E-2</v>
      </c>
      <c r="I33" s="76">
        <f>IF('04_Revenue'!I11=0,0,I28/'04_Revenue'!I11)</f>
        <v>8.9962375567762529E-2</v>
      </c>
      <c r="J33" s="76">
        <f>IF('04_Revenue'!J11=0,0,J28/'04_Revenue'!J11)</f>
        <v>8.4908281877901962E-2</v>
      </c>
      <c r="K33" s="76">
        <f>IF('04_Revenue'!K11=0,0,K28/'04_Revenue'!K11)</f>
        <v>8.0131005713336367E-2</v>
      </c>
      <c r="L33" s="76">
        <f>IF('04_Revenue'!L11=0,0,L28/'04_Revenue'!L11)</f>
        <v>7.5615793206322279E-2</v>
      </c>
    </row>
    <row r="34" spans="1:12" ht="15" customHeight="1" x14ac:dyDescent="0.2">
      <c r="A34" s="51" t="s">
        <v>272</v>
      </c>
      <c r="B34" s="77">
        <f t="shared" ref="B34:L34" si="6">IF(B6=0,0,B28/B6)</f>
        <v>1.3254511512134413</v>
      </c>
      <c r="C34" s="77">
        <f t="shared" si="6"/>
        <v>1.1700680272108843</v>
      </c>
      <c r="D34" s="77">
        <f t="shared" si="6"/>
        <v>1.2093074568351503</v>
      </c>
      <c r="E34" s="77">
        <f t="shared" si="6"/>
        <v>0.83496801549067978</v>
      </c>
      <c r="F34" s="77">
        <f t="shared" si="6"/>
        <v>0.51054724834465592</v>
      </c>
      <c r="G34" s="77">
        <f t="shared" si="6"/>
        <v>0.31930957587570175</v>
      </c>
      <c r="H34" s="77">
        <f t="shared" si="6"/>
        <v>0.30179544714799766</v>
      </c>
      <c r="I34" s="77">
        <f t="shared" si="6"/>
        <v>0.28555911820077501</v>
      </c>
      <c r="J34" s="77">
        <f t="shared" si="6"/>
        <v>0.2701656030739224</v>
      </c>
      <c r="K34" s="77">
        <f t="shared" si="6"/>
        <v>0.25501792407893414</v>
      </c>
      <c r="L34" s="77">
        <f t="shared" si="6"/>
        <v>0.24084805646457791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AD47"/>
  </sheetPr>
  <dimension ref="A1:M5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8" customWidth="1"/>
    <col min="2" max="12" width="14" customWidth="1"/>
    <col min="13" max="13" width="75" customWidth="1"/>
  </cols>
  <sheetData>
    <row r="1" spans="1:13" ht="15" customHeight="1" x14ac:dyDescent="0.2">
      <c r="A1" s="10" t="str">
        <f>IF('11_Scenarios'!B4=1,"ACTIVE SCENARIO: BASE",IF('11_Scenarios'!B4=2,"ACTIVE SCENARIO: DOWNSIDE","ACTIVE SCENARIO: UPSIDE"))</f>
        <v>ACTIVE SCENARIO: BASE</v>
      </c>
    </row>
    <row r="3" spans="1:13" ht="15" customHeight="1" x14ac:dyDescent="0.2">
      <c r="A3" s="6" t="s">
        <v>71</v>
      </c>
      <c r="B3" s="31" t="s">
        <v>72</v>
      </c>
      <c r="C3" s="31" t="s">
        <v>73</v>
      </c>
      <c r="D3" s="31" t="s">
        <v>160</v>
      </c>
      <c r="E3" s="31" t="s">
        <v>161</v>
      </c>
      <c r="F3" s="31" t="s">
        <v>162</v>
      </c>
      <c r="G3" s="31" t="s">
        <v>163</v>
      </c>
      <c r="H3" s="31" t="s">
        <v>164</v>
      </c>
      <c r="I3" s="31" t="s">
        <v>165</v>
      </c>
      <c r="J3" s="31" t="s">
        <v>166</v>
      </c>
      <c r="K3" s="31" t="s">
        <v>167</v>
      </c>
      <c r="L3" s="31" t="s">
        <v>168</v>
      </c>
    </row>
    <row r="4" spans="1:13" ht="15" customHeight="1" x14ac:dyDescent="0.2">
      <c r="A4" s="6" t="s">
        <v>273</v>
      </c>
      <c r="B4" s="56">
        <f>'05_IncStmt'!B10</f>
        <v>2597</v>
      </c>
      <c r="C4" s="56">
        <f>'05_IncStmt'!C10</f>
        <v>3408</v>
      </c>
      <c r="D4" s="56">
        <f>'05_IncStmt'!D10</f>
        <v>3728.4433099999997</v>
      </c>
      <c r="E4" s="56">
        <f>'05_IncStmt'!E10</f>
        <v>4043.5779333468754</v>
      </c>
      <c r="F4" s="56">
        <f>'05_IncStmt'!F10</f>
        <v>4385.2193787408905</v>
      </c>
      <c r="G4" s="56">
        <f>'05_IncStmt'!G10</f>
        <v>4738.1129083164669</v>
      </c>
      <c r="H4" s="56">
        <f>'05_IncStmt'!H10</f>
        <v>4984.3386329252862</v>
      </c>
      <c r="I4" s="56">
        <f>'05_IncStmt'!I10</f>
        <v>5244.2062364597141</v>
      </c>
      <c r="J4" s="56">
        <f>'05_IncStmt'!J10</f>
        <v>5518.5273372682841</v>
      </c>
      <c r="K4" s="56">
        <f>'05_IncStmt'!K10</f>
        <v>5808.165193619714</v>
      </c>
      <c r="L4" s="56">
        <f>'05_IncStmt'!L10</f>
        <v>6114.0381715642643</v>
      </c>
    </row>
    <row r="5" spans="1:13" ht="15" customHeight="1" x14ac:dyDescent="0.2">
      <c r="A5" s="6" t="s">
        <v>274</v>
      </c>
      <c r="D5" s="57">
        <f>-D4*'03_Drivers'!$D$32</f>
        <v>-820.25752819999991</v>
      </c>
      <c r="E5" s="57">
        <f>-E4*'03_Drivers'!$D$32</f>
        <v>-889.58714533631257</v>
      </c>
      <c r="F5" s="57">
        <f>-F4*'03_Drivers'!$D$32</f>
        <v>-964.74826332299597</v>
      </c>
      <c r="G5" s="57">
        <f>-G4*'03_Drivers'!$D$32</f>
        <v>-1042.3848398296227</v>
      </c>
      <c r="H5" s="57">
        <f>-H4*'03_Drivers'!$D$32</f>
        <v>-1096.554499243563</v>
      </c>
      <c r="I5" s="57">
        <f>-I4*'03_Drivers'!$D$32</f>
        <v>-1153.7253720211372</v>
      </c>
      <c r="J5" s="57">
        <f>-J4*'03_Drivers'!$D$32</f>
        <v>-1214.0760141990224</v>
      </c>
      <c r="K5" s="57">
        <f>-K4*'03_Drivers'!$D$32</f>
        <v>-1277.7963425963371</v>
      </c>
      <c r="L5" s="57">
        <f>-L4*'03_Drivers'!$D$32</f>
        <v>-1345.0883977441381</v>
      </c>
    </row>
    <row r="6" spans="1:13" ht="15" customHeight="1" x14ac:dyDescent="0.2">
      <c r="A6" s="31" t="s">
        <v>275</v>
      </c>
      <c r="B6" s="78">
        <f t="shared" ref="B6:L6" si="0">B4+B5</f>
        <v>2597</v>
      </c>
      <c r="C6" s="78">
        <f t="shared" si="0"/>
        <v>3408</v>
      </c>
      <c r="D6" s="78">
        <f t="shared" si="0"/>
        <v>2908.1857817999999</v>
      </c>
      <c r="E6" s="78">
        <f t="shared" si="0"/>
        <v>3153.9907880105629</v>
      </c>
      <c r="F6" s="78">
        <f t="shared" si="0"/>
        <v>3420.4711154178945</v>
      </c>
      <c r="G6" s="78">
        <f t="shared" si="0"/>
        <v>3695.7280684868442</v>
      </c>
      <c r="H6" s="78">
        <f t="shared" si="0"/>
        <v>3887.7841336817232</v>
      </c>
      <c r="I6" s="78">
        <f t="shared" si="0"/>
        <v>4090.4808644385766</v>
      </c>
      <c r="J6" s="78">
        <f t="shared" si="0"/>
        <v>4304.4513230692619</v>
      </c>
      <c r="K6" s="78">
        <f t="shared" si="0"/>
        <v>4530.3688510233769</v>
      </c>
      <c r="L6" s="78">
        <f t="shared" si="0"/>
        <v>4768.9497738201262</v>
      </c>
    </row>
    <row r="8" spans="1:13" ht="15" customHeight="1" x14ac:dyDescent="0.2">
      <c r="A8" s="6" t="s">
        <v>276</v>
      </c>
      <c r="B8" s="22">
        <v>373</v>
      </c>
      <c r="C8" s="22">
        <v>431</v>
      </c>
      <c r="D8" s="56">
        <f>'05_IncStmt'!D24</f>
        <v>462</v>
      </c>
      <c r="E8" s="56">
        <f>'05_IncStmt'!E24</f>
        <v>486</v>
      </c>
      <c r="F8" s="56">
        <f>'05_IncStmt'!F24</f>
        <v>511</v>
      </c>
      <c r="G8" s="56">
        <f>'05_IncStmt'!G24</f>
        <v>545</v>
      </c>
      <c r="H8" s="56">
        <f>'05_IncStmt'!H24</f>
        <v>567</v>
      </c>
      <c r="I8" s="56">
        <f>'05_IncStmt'!I24</f>
        <v>589</v>
      </c>
      <c r="J8" s="56">
        <f>'05_IncStmt'!J24</f>
        <v>612</v>
      </c>
      <c r="K8" s="56">
        <f>'05_IncStmt'!K24</f>
        <v>636</v>
      </c>
      <c r="L8" s="56">
        <f>'05_IncStmt'!L24</f>
        <v>661</v>
      </c>
    </row>
    <row r="9" spans="1:13" ht="15" customHeight="1" x14ac:dyDescent="0.2">
      <c r="A9" s="6" t="s">
        <v>277</v>
      </c>
      <c r="B9" s="61">
        <v>-271</v>
      </c>
      <c r="C9" s="61">
        <v>-317</v>
      </c>
      <c r="D9" s="57">
        <f>-'05_IncStmt'!D4*'03_Drivers'!$D$34</f>
        <v>-346.27850999999998</v>
      </c>
      <c r="E9" s="57">
        <f>-'05_IncStmt'!E4*'03_Drivers'!$D$34</f>
        <v>-377.0391558375</v>
      </c>
      <c r="F9" s="57">
        <f>-'05_IncStmt'!F4*'03_Drivers'!$D$34</f>
        <v>-410.5328730449063</v>
      </c>
      <c r="G9" s="57">
        <f>-'05_IncStmt'!G4*'03_Drivers'!$D$34</f>
        <v>-445.70297764977681</v>
      </c>
      <c r="H9" s="57">
        <f>-'05_IncStmt'!H4*'03_Drivers'!$D$34</f>
        <v>-472.14924878877252</v>
      </c>
      <c r="I9" s="57">
        <f>-'05_IncStmt'!I4*'03_Drivers'!$D$34</f>
        <v>-500.20911204267344</v>
      </c>
      <c r="J9" s="57">
        <f>-'05_IncStmt'!J4*'03_Drivers'!$D$34</f>
        <v>-529.98363651628188</v>
      </c>
      <c r="K9" s="57">
        <f>-'05_IncStmt'!K4*'03_Drivers'!$D$34</f>
        <v>-561.58037203457388</v>
      </c>
      <c r="L9" s="57">
        <f>-'05_IncStmt'!L4*'03_Drivers'!$D$34</f>
        <v>-595.113773087254</v>
      </c>
    </row>
    <row r="10" spans="1:13" ht="15" customHeight="1" x14ac:dyDescent="0.2">
      <c r="A10" s="6" t="s">
        <v>278</v>
      </c>
      <c r="B10" s="56">
        <f>-'05_IncStmt'!B13</f>
        <v>210</v>
      </c>
      <c r="C10" s="56">
        <f>-'05_IncStmt'!C13</f>
        <v>220</v>
      </c>
      <c r="D10" s="56">
        <f>-'05_IncStmt'!D13</f>
        <v>238.54741799999999</v>
      </c>
      <c r="E10" s="56">
        <f>-'05_IncStmt'!E13</f>
        <v>259.73808513250003</v>
      </c>
      <c r="F10" s="56">
        <f>-'05_IncStmt'!F13</f>
        <v>282.8115347642688</v>
      </c>
      <c r="G10" s="56">
        <f>-'05_IncStmt'!G13</f>
        <v>307.03982904762404</v>
      </c>
      <c r="H10" s="56">
        <f>-'05_IncStmt'!H13</f>
        <v>325.25837138782106</v>
      </c>
      <c r="I10" s="56">
        <f>-'05_IncStmt'!I13</f>
        <v>344.58849940717505</v>
      </c>
      <c r="J10" s="56">
        <f>-'05_IncStmt'!J13</f>
        <v>365.09983848899424</v>
      </c>
      <c r="K10" s="56">
        <f>-'05_IncStmt'!K13</f>
        <v>386.86647851270646</v>
      </c>
      <c r="L10" s="56">
        <f>-'05_IncStmt'!L13</f>
        <v>409.96726590455273</v>
      </c>
      <c r="M10" t="s">
        <v>279</v>
      </c>
    </row>
    <row r="11" spans="1:13" ht="15" customHeight="1" x14ac:dyDescent="0.2">
      <c r="A11" s="6" t="s">
        <v>280</v>
      </c>
      <c r="B11" s="61">
        <v>-62</v>
      </c>
      <c r="C11" s="61">
        <v>-4</v>
      </c>
      <c r="D11" s="62">
        <f>'10_CapAlloc'!D10</f>
        <v>-99</v>
      </c>
      <c r="E11" s="62">
        <f>'10_CapAlloc'!E10</f>
        <v>-88</v>
      </c>
      <c r="F11" s="62">
        <f>'10_CapAlloc'!F10</f>
        <v>-92</v>
      </c>
      <c r="G11" s="62">
        <f>'10_CapAlloc'!G10</f>
        <v>-99</v>
      </c>
      <c r="H11" s="62">
        <f>'10_CapAlloc'!H10</f>
        <v>-74</v>
      </c>
      <c r="I11" s="62">
        <f>'10_CapAlloc'!I10</f>
        <v>-79</v>
      </c>
      <c r="J11" s="62">
        <f>'10_CapAlloc'!J10</f>
        <v>-82</v>
      </c>
      <c r="K11" s="62">
        <f>'10_CapAlloc'!K10</f>
        <v>-89</v>
      </c>
      <c r="L11" s="62">
        <f>'10_CapAlloc'!L10</f>
        <v>-94</v>
      </c>
    </row>
    <row r="12" spans="1:13" ht="15" customHeight="1" x14ac:dyDescent="0.2">
      <c r="A12" s="6" t="s">
        <v>281</v>
      </c>
      <c r="B12" s="22">
        <v>24</v>
      </c>
      <c r="C12" s="22">
        <v>154</v>
      </c>
      <c r="D12" s="56">
        <f>'14_DeferredRev'!D12</f>
        <v>142.62869999999998</v>
      </c>
      <c r="E12" s="56">
        <f>'14_DeferredRev'!E12</f>
        <v>144.69251124999982</v>
      </c>
      <c r="F12" s="56">
        <f>'14_DeferredRev'!F12</f>
        <v>157.35310598437491</v>
      </c>
      <c r="G12" s="56">
        <f>'14_DeferredRev'!G12</f>
        <v>171.12150275800764</v>
      </c>
      <c r="H12" s="56">
        <f>'14_DeferredRev'!H12</f>
        <v>148.87570739946705</v>
      </c>
      <c r="I12" s="56">
        <f>'14_DeferredRev'!I12</f>
        <v>159.29700691742937</v>
      </c>
      <c r="J12" s="56">
        <f>'14_DeferredRev'!J12</f>
        <v>170.44779740164995</v>
      </c>
      <c r="K12" s="56">
        <f>'14_DeferredRev'!K12</f>
        <v>182.37914321976496</v>
      </c>
      <c r="L12" s="56">
        <f>'14_DeferredRev'!L12</f>
        <v>195.14568324514858</v>
      </c>
    </row>
    <row r="14" spans="1:13" ht="15" customHeight="1" x14ac:dyDescent="0.2">
      <c r="A14" s="31" t="s">
        <v>282</v>
      </c>
      <c r="B14" s="78">
        <f t="shared" ref="B14:L14" si="1">B6+B8+B9+B10+B11+B12</f>
        <v>2871</v>
      </c>
      <c r="C14" s="78">
        <f t="shared" si="1"/>
        <v>3892</v>
      </c>
      <c r="D14" s="78">
        <f t="shared" si="1"/>
        <v>3306.0833898000001</v>
      </c>
      <c r="E14" s="78">
        <f t="shared" si="1"/>
        <v>3579.382228555563</v>
      </c>
      <c r="F14" s="78">
        <f t="shared" si="1"/>
        <v>3869.1028831216317</v>
      </c>
      <c r="G14" s="78">
        <f t="shared" si="1"/>
        <v>4174.1864226426987</v>
      </c>
      <c r="H14" s="78">
        <f t="shared" si="1"/>
        <v>4382.7689636802388</v>
      </c>
      <c r="I14" s="78">
        <f t="shared" si="1"/>
        <v>4604.1572587205083</v>
      </c>
      <c r="J14" s="78">
        <f t="shared" si="1"/>
        <v>4840.0153224436244</v>
      </c>
      <c r="K14" s="78">
        <f t="shared" si="1"/>
        <v>5085.0341007212746</v>
      </c>
      <c r="L14" s="78">
        <f t="shared" si="1"/>
        <v>5345.9489498825733</v>
      </c>
    </row>
    <row r="16" spans="1:13" ht="15" customHeight="1" x14ac:dyDescent="0.2">
      <c r="A16" s="6" t="s">
        <v>283</v>
      </c>
      <c r="D16" s="6">
        <v>0.5</v>
      </c>
      <c r="E16" s="6">
        <v>1.5</v>
      </c>
      <c r="F16" s="6">
        <v>2.5</v>
      </c>
      <c r="G16" s="6">
        <v>3.5</v>
      </c>
      <c r="H16" s="6">
        <v>4.5</v>
      </c>
      <c r="I16" s="6">
        <v>5.5</v>
      </c>
      <c r="J16" s="6">
        <v>6.5</v>
      </c>
      <c r="K16" s="6">
        <v>7.5</v>
      </c>
      <c r="L16" s="6">
        <v>8.5</v>
      </c>
    </row>
    <row r="17" spans="1:12" ht="15" customHeight="1" x14ac:dyDescent="0.2">
      <c r="A17" s="6" t="s">
        <v>5</v>
      </c>
      <c r="D17" s="46">
        <f>'09_WACC'!B15</f>
        <v>8.6480000000000001E-2</v>
      </c>
      <c r="E17" s="46">
        <f>'09_WACC'!B15</f>
        <v>8.6480000000000001E-2</v>
      </c>
      <c r="F17" s="46">
        <f>'09_WACC'!B15</f>
        <v>8.6480000000000001E-2</v>
      </c>
      <c r="G17" s="46">
        <f>'09_WACC'!B15</f>
        <v>8.6480000000000001E-2</v>
      </c>
      <c r="H17" s="46">
        <f>'09_WACC'!B15</f>
        <v>8.6480000000000001E-2</v>
      </c>
      <c r="I17" s="46">
        <f>'09_WACC'!B15</f>
        <v>8.6480000000000001E-2</v>
      </c>
      <c r="J17" s="46">
        <f>'09_WACC'!B15</f>
        <v>8.6480000000000001E-2</v>
      </c>
      <c r="K17" s="46">
        <f>'09_WACC'!B15</f>
        <v>8.6480000000000001E-2</v>
      </c>
      <c r="L17" s="46">
        <f>'09_WACC'!B15</f>
        <v>8.6480000000000001E-2</v>
      </c>
    </row>
    <row r="18" spans="1:12" ht="15" customHeight="1" x14ac:dyDescent="0.2">
      <c r="A18" s="6" t="s">
        <v>284</v>
      </c>
      <c r="D18" s="79">
        <f t="shared" ref="D18:L18" si="2">1/(1+D17)^D16</f>
        <v>0.95937662307174587</v>
      </c>
      <c r="E18" s="79">
        <f t="shared" si="2"/>
        <v>0.88301360639104809</v>
      </c>
      <c r="F18" s="79">
        <f t="shared" si="2"/>
        <v>0.81272881819366039</v>
      </c>
      <c r="G18" s="79">
        <f t="shared" si="2"/>
        <v>0.74803845279587333</v>
      </c>
      <c r="H18" s="79">
        <f t="shared" si="2"/>
        <v>0.68849721375071182</v>
      </c>
      <c r="I18" s="79">
        <f t="shared" si="2"/>
        <v>0.63369524864766225</v>
      </c>
      <c r="J18" s="79">
        <f t="shared" si="2"/>
        <v>0.58325532789159695</v>
      </c>
      <c r="K18" s="79">
        <f t="shared" si="2"/>
        <v>0.53683024804101043</v>
      </c>
      <c r="L18" s="79">
        <f t="shared" si="2"/>
        <v>0.49410044183142848</v>
      </c>
    </row>
    <row r="19" spans="1:12" ht="15" customHeight="1" x14ac:dyDescent="0.2">
      <c r="A19" s="6" t="s">
        <v>285</v>
      </c>
      <c r="D19" s="53">
        <f t="shared" ref="D19:L19" si="3">D14*D18</f>
        <v>3171.7791180999147</v>
      </c>
      <c r="E19" s="53">
        <f t="shared" si="3"/>
        <v>3160.6432102888743</v>
      </c>
      <c r="F19" s="53">
        <f t="shared" si="3"/>
        <v>3144.5314136691277</v>
      </c>
      <c r="G19" s="53">
        <f t="shared" si="3"/>
        <v>3122.4519532751856</v>
      </c>
      <c r="H19" s="53">
        <f t="shared" si="3"/>
        <v>3017.5242200069392</v>
      </c>
      <c r="I19" s="53">
        <f t="shared" si="3"/>
        <v>2917.6325788778313</v>
      </c>
      <c r="J19" s="53">
        <f t="shared" si="3"/>
        <v>2822.9647238922093</v>
      </c>
      <c r="K19" s="53">
        <f t="shared" si="3"/>
        <v>2729.8001175871982</v>
      </c>
      <c r="L19" s="53">
        <f t="shared" si="3"/>
        <v>2641.4357381452405</v>
      </c>
    </row>
    <row r="21" spans="1:12" ht="15" customHeight="1" x14ac:dyDescent="0.2">
      <c r="A21" s="31" t="s">
        <v>286</v>
      </c>
    </row>
    <row r="22" spans="1:12" ht="15" customHeight="1" x14ac:dyDescent="0.2">
      <c r="A22" s="6" t="s">
        <v>287</v>
      </c>
      <c r="B22" s="53">
        <f>L14</f>
        <v>5345.9489498825733</v>
      </c>
    </row>
    <row r="23" spans="1:12" ht="15" customHeight="1" x14ac:dyDescent="0.2">
      <c r="A23" s="6" t="s">
        <v>6</v>
      </c>
      <c r="B23" s="46">
        <f>'03_Drivers'!$D$40</f>
        <v>2.5000000000000001E-2</v>
      </c>
    </row>
    <row r="24" spans="1:12" ht="15" customHeight="1" x14ac:dyDescent="0.2">
      <c r="A24" s="6" t="s">
        <v>5</v>
      </c>
      <c r="B24" s="46">
        <f>'09_WACC'!B15</f>
        <v>8.6480000000000001E-2</v>
      </c>
    </row>
    <row r="25" spans="1:12" ht="15" customHeight="1" x14ac:dyDescent="0.2">
      <c r="A25" s="6" t="s">
        <v>288</v>
      </c>
      <c r="B25" s="53">
        <f>B22*(1+B23)/(B24-B23)</f>
        <v>89128.133923709131</v>
      </c>
    </row>
    <row r="26" spans="1:12" ht="15" customHeight="1" x14ac:dyDescent="0.2">
      <c r="A26" s="6" t="s">
        <v>289</v>
      </c>
      <c r="B26" s="53">
        <f>B25*L18</f>
        <v>44038.250351315408</v>
      </c>
    </row>
    <row r="28" spans="1:12" ht="15" customHeight="1" x14ac:dyDescent="0.2">
      <c r="A28" s="31" t="s">
        <v>290</v>
      </c>
    </row>
    <row r="29" spans="1:12" ht="15" customHeight="1" x14ac:dyDescent="0.2">
      <c r="A29" s="6" t="s">
        <v>291</v>
      </c>
      <c r="B29" s="53">
        <f>SUM(D19:L19)</f>
        <v>26728.763073842518</v>
      </c>
    </row>
    <row r="30" spans="1:12" ht="15" customHeight="1" x14ac:dyDescent="0.2">
      <c r="A30" s="6" t="s">
        <v>289</v>
      </c>
      <c r="B30" s="53">
        <f>B26</f>
        <v>44038.250351315408</v>
      </c>
    </row>
    <row r="31" spans="1:12" ht="15" customHeight="1" x14ac:dyDescent="0.2">
      <c r="A31" s="31" t="s">
        <v>292</v>
      </c>
      <c r="B31" s="78">
        <f>B29+B30</f>
        <v>70767.013425157929</v>
      </c>
    </row>
    <row r="32" spans="1:12" ht="15" customHeight="1" x14ac:dyDescent="0.2">
      <c r="A32" s="6" t="s">
        <v>293</v>
      </c>
      <c r="B32" s="62">
        <f>IF('03_Drivers'!$B$43=1,-'06_BS'!C37,-'06_BS'!D37)</f>
        <v>-4772</v>
      </c>
      <c r="C32" s="58" t="str">
        <f>IF('03_Drivers'!$B$43=1,"(FY24A)","(FY25E)")</f>
        <v>(FY24A)</v>
      </c>
    </row>
    <row r="33" spans="1:7" ht="15" customHeight="1" x14ac:dyDescent="0.2">
      <c r="A33" s="31" t="s">
        <v>294</v>
      </c>
      <c r="B33" s="78">
        <f>B31+B32</f>
        <v>65995.013425157929</v>
      </c>
    </row>
    <row r="34" spans="1:7" ht="15" customHeight="1" x14ac:dyDescent="0.2">
      <c r="A34" s="6" t="s">
        <v>89</v>
      </c>
      <c r="B34" s="80">
        <f>IF('03_Drivers'!$B$43=1,'10_CapAlloc'!C29,'10_CapAlloc'!D29)</f>
        <v>180.3</v>
      </c>
      <c r="C34" s="58" t="str">
        <f>IF('03_Drivers'!$B$43=1,"(FY24A)","(FY25E)")</f>
        <v>(FY24A)</v>
      </c>
    </row>
    <row r="35" spans="1:7" ht="15" customHeight="1" x14ac:dyDescent="0.2">
      <c r="A35" s="31" t="s">
        <v>4</v>
      </c>
      <c r="B35" s="81">
        <f>B33/B34</f>
        <v>366.02891528096467</v>
      </c>
    </row>
    <row r="37" spans="1:7" ht="15" customHeight="1" x14ac:dyDescent="0.2">
      <c r="A37" s="6" t="s">
        <v>295</v>
      </c>
      <c r="B37" s="45">
        <f>IF(B31=0,0,B30/B31)</f>
        <v>0.62229912242784646</v>
      </c>
    </row>
    <row r="38" spans="1:7" ht="15" customHeight="1" x14ac:dyDescent="0.2">
      <c r="A38" s="50"/>
    </row>
    <row r="39" spans="1:7" ht="15" customHeight="1" x14ac:dyDescent="0.2">
      <c r="A39" s="31" t="s">
        <v>296</v>
      </c>
    </row>
    <row r="40" spans="1:7" ht="15" customHeight="1" x14ac:dyDescent="0.2">
      <c r="A40" s="6" t="s">
        <v>297</v>
      </c>
      <c r="C40" s="25">
        <v>1.4999999999999999E-2</v>
      </c>
      <c r="D40" s="25">
        <v>0.02</v>
      </c>
      <c r="E40" s="25">
        <v>2.5000000000000001E-2</v>
      </c>
      <c r="F40" s="25">
        <v>0.03</v>
      </c>
      <c r="G40" s="25">
        <v>3.5000000000000003E-2</v>
      </c>
    </row>
    <row r="41" spans="1:7" ht="15" customHeight="1" x14ac:dyDescent="0.2">
      <c r="A41" s="6" t="s">
        <v>298</v>
      </c>
      <c r="B41" s="25">
        <v>7.4999999999999997E-2</v>
      </c>
      <c r="C41" s="82">
        <f>ROUND((D14/(1+$B41)^0.5+E14/(1+$B41)^1.5+F14/(1+$B41)^2.5+G14/(1+$B41)^3.5+H14/(1+$B41)^4.5+I14/(1+$B41)^5.5+J14/(1+$B41)^6.5+K14/(1+$B41)^7.5+L14/(1+$B41)^8.5+L14*(1+C$40)/($B41-C$40)/(1+$B41)^8.5+B32)/B34,0)</f>
        <v>400</v>
      </c>
      <c r="D41" s="82">
        <f>ROUND((D14/(1+$B41)^0.5+E14/(1+$B41)^1.5+F14/(1+$B41)^2.5+G14/(1+$B41)^3.5+H14/(1+$B41)^4.5+I14/(1+$B41)^5.5+J14/(1+$B41)^6.5+K14/(1+$B41)^7.5+L14/(1+$B41)^8.5+L14*(1+D$40)/($B41-D$40)/(1+$B41)^8.5+B32)/B34,0)</f>
        <v>426</v>
      </c>
      <c r="E41" s="82">
        <f>ROUND((D14/(1+$B41)^0.5+E14/(1+$B41)^1.5+F14/(1+$B41)^2.5+G14/(1+$B41)^3.5+H14/(1+$B41)^4.5+I14/(1+$B41)^5.5+J14/(1+$B41)^6.5+K14/(1+$B41)^7.5+L14/(1+$B41)^8.5+L14*(1+E$40)/($B41-E$40)/(1+$B41)^8.5+B32)/B34,0)</f>
        <v>458</v>
      </c>
      <c r="F41" s="82">
        <f>ROUND((D14/(1+$B41)^0.5+E14/(1+$B41)^1.5+F14/(1+$B41)^2.5+G14/(1+$B41)^3.5+H14/(1+$B41)^4.5+I14/(1+$B41)^5.5+J14/(1+$B41)^6.5+K14/(1+$B41)^7.5+L14/(1+$B41)^8.5+L14*(1+F$40)/($B41-F$40)/(1+$B41)^8.5+B32)/B34,0)</f>
        <v>496</v>
      </c>
      <c r="G41" s="82">
        <f>ROUND((D14/(1+$B41)^0.5+E14/(1+$B41)^1.5+F14/(1+$B41)^2.5+G14/(1+$B41)^3.5+H14/(1+$B41)^4.5+I14/(1+$B41)^5.5+J14/(1+$B41)^6.5+K14/(1+$B41)^7.5+L14/(1+$B41)^8.5+L14*(1+G$40)/($B41-G$40)/(1+$B41)^8.5+B32)/B34,0)</f>
        <v>544</v>
      </c>
    </row>
    <row r="42" spans="1:7" ht="15" customHeight="1" x14ac:dyDescent="0.2">
      <c r="B42" s="25">
        <v>0.08</v>
      </c>
      <c r="C42" s="82">
        <f>ROUND((D14/(1+$B42)^0.5+E14/(1+$B42)^1.5+F14/(1+$B42)^2.5+G14/(1+$B42)^3.5+H14/(1+$B42)^4.5+I14/(1+$B42)^5.5+J14/(1+$B42)^6.5+K14/(1+$B42)^7.5+L14/(1+$B42)^8.5+L14*(1+C$40)/($B42-C$40)/(1+$B42)^8.5+B32)/B34,0)</f>
        <v>366</v>
      </c>
      <c r="D42" s="82">
        <f>ROUND((D14/(1+$B42)^0.5+E14/(1+$B42)^1.5+F14/(1+$B42)^2.5+G14/(1+$B42)^3.5+H14/(1+$B42)^4.5+I14/(1+$B42)^5.5+J14/(1+$B42)^6.5+K14/(1+$B42)^7.5+L14/(1+$B42)^8.5+L14*(1+D$40)/($B42-D$40)/(1+$B42)^8.5+B32)/B34,0)</f>
        <v>388</v>
      </c>
      <c r="E42" s="82">
        <f>ROUND((D14/(1+$B42)^0.5+E14/(1+$B42)^1.5+F14/(1+$B42)^2.5+G14/(1+$B42)^3.5+H14/(1+$B42)^4.5+I14/(1+$B42)^5.5+J14/(1+$B42)^6.5+K14/(1+$B42)^7.5+L14/(1+$B42)^8.5+L14*(1+E$40)/($B42-E$40)/(1+$B42)^8.5+B32)/B34,0)</f>
        <v>413</v>
      </c>
      <c r="F42" s="82">
        <f>ROUND((D14/(1+$B42)^0.5+E14/(1+$B42)^1.5+F14/(1+$B42)^2.5+G14/(1+$B42)^3.5+H14/(1+$B42)^4.5+I14/(1+$B42)^5.5+J14/(1+$B42)^6.5+K14/(1+$B42)^7.5+L14/(1+$B42)^8.5+L14*(1+F$40)/($B42-F$40)/(1+$B42)^8.5+B32)/B34,0)</f>
        <v>443</v>
      </c>
      <c r="G42" s="82">
        <f>ROUND((D14/(1+$B42)^0.5+E14/(1+$B42)^1.5+F14/(1+$B42)^2.5+G14/(1+$B42)^3.5+H14/(1+$B42)^4.5+I14/(1+$B42)^5.5+J14/(1+$B42)^6.5+K14/(1+$B42)^7.5+L14/(1+$B42)^8.5+L14*(1+G$40)/($B42-G$40)/(1+$B42)^8.5+B32)/B34,0)</f>
        <v>480</v>
      </c>
    </row>
    <row r="43" spans="1:7" ht="15" customHeight="1" x14ac:dyDescent="0.2">
      <c r="B43" s="25">
        <v>8.5000000000000006E-2</v>
      </c>
      <c r="C43" s="82">
        <f>ROUND((D14/(1+$B43)^0.5+E14/(1+$B43)^1.5+F14/(1+$B43)^2.5+G14/(1+$B43)^3.5+H14/(1+$B43)^4.5+I14/(1+$B43)^5.5+J14/(1+$B43)^6.5+K14/(1+$B43)^7.5+L14/(1+$B43)^8.5+L14*(1+C$40)/($B43-C$40)/(1+$B43)^8.5+B32)/B34,0)</f>
        <v>338</v>
      </c>
      <c r="D43" s="82">
        <f>ROUND((D14/(1+$B43)^0.5+E14/(1+$B43)^1.5+F14/(1+$B43)^2.5+G14/(1+$B43)^3.5+H14/(1+$B43)^4.5+I14/(1+$B43)^5.5+J14/(1+$B43)^6.5+K14/(1+$B43)^7.5+L14/(1+$B43)^8.5+L14*(1+D$40)/($B43-D$40)/(1+$B43)^8.5+B32)/B34,0)</f>
        <v>355</v>
      </c>
      <c r="E43" s="82">
        <f>ROUND((D14/(1+$B43)^0.5+E14/(1+$B43)^1.5+F14/(1+$B43)^2.5+G14/(1+$B43)^3.5+H14/(1+$B43)^4.5+I14/(1+$B43)^5.5+J14/(1+$B43)^6.5+K14/(1+$B43)^7.5+L14/(1+$B43)^8.5+L14*(1+E$40)/($B43-E$40)/(1+$B43)^8.5+B32)/B34,0)</f>
        <v>376</v>
      </c>
      <c r="F43" s="82">
        <f>ROUND((D14/(1+$B43)^0.5+E14/(1+$B43)^1.5+F14/(1+$B43)^2.5+G14/(1+$B43)^3.5+H14/(1+$B43)^4.5+I14/(1+$B43)^5.5+J14/(1+$B43)^6.5+K14/(1+$B43)^7.5+L14/(1+$B43)^8.5+L14*(1+F$40)/($B43-F$40)/(1+$B43)^8.5+B32)/B34,0)</f>
        <v>400</v>
      </c>
      <c r="G43" s="82">
        <f>ROUND((D14/(1+$B43)^0.5+E14/(1+$B43)^1.5+F14/(1+$B43)^2.5+G14/(1+$B43)^3.5+H14/(1+$B43)^4.5+I14/(1+$B43)^5.5+J14/(1+$B43)^6.5+K14/(1+$B43)^7.5+L14/(1+$B43)^8.5+L14*(1+G$40)/($B43-G$40)/(1+$B43)^8.5+B32)/B34,0)</f>
        <v>429</v>
      </c>
    </row>
    <row r="44" spans="1:7" ht="15" customHeight="1" x14ac:dyDescent="0.2">
      <c r="B44" s="25">
        <v>8.5999999999999993E-2</v>
      </c>
      <c r="C44" s="82">
        <f>ROUND((D14/(1+$B44)^0.5+E14/(1+$B44)^1.5+F14/(1+$B44)^2.5+G14/(1+$B44)^3.5+H14/(1+$B44)^4.5+I14/(1+$B44)^5.5+J14/(1+$B44)^6.5+K14/(1+$B44)^7.5+L14/(1+$B44)^8.5+L14*(1+C$40)/($B44-C$40)/(1+$B44)^8.5+B32)/B34,0)</f>
        <v>332</v>
      </c>
      <c r="D44" s="82">
        <f>ROUND((D14/(1+$B44)^0.5+E14/(1+$B44)^1.5+F14/(1+$B44)^2.5+G14/(1+$B44)^3.5+H14/(1+$B44)^4.5+I14/(1+$B44)^5.5+J14/(1+$B44)^6.5+K14/(1+$B44)^7.5+L14/(1+$B44)^8.5+L14*(1+D$40)/($B44-D$40)/(1+$B44)^8.5+B32)/B34,0)</f>
        <v>349</v>
      </c>
      <c r="E44" s="82">
        <f>ROUND((D14/(1+$B44)^0.5+E14/(1+$B44)^1.5+F14/(1+$B44)^2.5+G14/(1+$B44)^3.5+H14/(1+$B44)^4.5+I14/(1+$B44)^5.5+J14/(1+$B44)^6.5+K14/(1+$B44)^7.5+L14/(1+$B44)^8.5+L14*(1+E$40)/($B44-E$40)/(1+$B44)^8.5+B32)/B34,0)</f>
        <v>369</v>
      </c>
      <c r="F44" s="82">
        <f>ROUND((D14/(1+$B44)^0.5+E14/(1+$B44)^1.5+F14/(1+$B44)^2.5+G14/(1+$B44)^3.5+H14/(1+$B44)^4.5+I14/(1+$B44)^5.5+J14/(1+$B44)^6.5+K14/(1+$B44)^7.5+L14/(1+$B44)^8.5+L14*(1+F$40)/($B44-F$40)/(1+$B44)^8.5+B32)/B34,0)</f>
        <v>393</v>
      </c>
      <c r="G44" s="82">
        <f>ROUND((D14/(1+$B44)^0.5+E14/(1+$B44)^1.5+F14/(1+$B44)^2.5+G14/(1+$B44)^3.5+H14/(1+$B44)^4.5+I14/(1+$B44)^5.5+J14/(1+$B44)^6.5+K14/(1+$B44)^7.5+L14/(1+$B44)^8.5+L14*(1+G$40)/($B44-G$40)/(1+$B44)^8.5+B32)/B34,0)</f>
        <v>420</v>
      </c>
    </row>
    <row r="45" spans="1:7" ht="15" customHeight="1" x14ac:dyDescent="0.2">
      <c r="B45" s="25">
        <v>0.09</v>
      </c>
      <c r="C45" s="82">
        <f>ROUND((D14/(1+$B45)^0.5+E14/(1+$B45)^1.5+F14/(1+$B45)^2.5+G14/(1+$B45)^3.5+H14/(1+$B45)^4.5+I14/(1+$B45)^5.5+J14/(1+$B45)^6.5+K14/(1+$B45)^7.5+L14/(1+$B45)^8.5+L14*(1+C$40)/($B45-C$40)/(1+$B45)^8.5+B32)/B34,0)</f>
        <v>313</v>
      </c>
      <c r="D45" s="82">
        <f>ROUND((D14/(1+$B45)^0.5+E14/(1+$B45)^1.5+F14/(1+$B45)^2.5+G14/(1+$B45)^3.5+H14/(1+$B45)^4.5+I14/(1+$B45)^5.5+J14/(1+$B45)^6.5+K14/(1+$B45)^7.5+L14/(1+$B45)^8.5+L14*(1+D$40)/($B45-D$40)/(1+$B45)^8.5+B32)/B34,0)</f>
        <v>327</v>
      </c>
      <c r="E45" s="82">
        <f>ROUND((D14/(1+$B45)^0.5+E14/(1+$B45)^1.5+F14/(1+$B45)^2.5+G14/(1+$B45)^3.5+H14/(1+$B45)^4.5+I14/(1+$B45)^5.5+J14/(1+$B45)^6.5+K14/(1+$B45)^7.5+L14/(1+$B45)^8.5+L14*(1+E$40)/($B45-E$40)/(1+$B45)^8.5+B32)/B34,0)</f>
        <v>344</v>
      </c>
      <c r="F45" s="82">
        <f>ROUND((D14/(1+$B45)^0.5+E14/(1+$B45)^1.5+F14/(1+$B45)^2.5+G14/(1+$B45)^3.5+H14/(1+$B45)^4.5+I14/(1+$B45)^5.5+J14/(1+$B45)^6.5+K14/(1+$B45)^7.5+L14/(1+$B45)^8.5+L14*(1+F$40)/($B45-F$40)/(1+$B45)^8.5+B32)/B34,0)</f>
        <v>364</v>
      </c>
      <c r="G45" s="82">
        <f>ROUND((D14/(1+$B45)^0.5+E14/(1+$B45)^1.5+F14/(1+$B45)^2.5+G14/(1+$B45)^3.5+H14/(1+$B45)^4.5+I14/(1+$B45)^5.5+J14/(1+$B45)^6.5+K14/(1+$B45)^7.5+L14/(1+$B45)^8.5+L14*(1+G$40)/($B45-G$40)/(1+$B45)^8.5+B32)/B34,0)</f>
        <v>388</v>
      </c>
    </row>
    <row r="46" spans="1:7" ht="15" customHeight="1" x14ac:dyDescent="0.2">
      <c r="B46" s="25">
        <v>9.5000000000000001E-2</v>
      </c>
      <c r="C46" s="82">
        <f>ROUND((D14/(1+$B46)^0.5+E14/(1+$B46)^1.5+F14/(1+$B46)^2.5+G14/(1+$B46)^3.5+H14/(1+$B46)^4.5+I14/(1+$B46)^5.5+J14/(1+$B46)^6.5+K14/(1+$B46)^7.5+L14/(1+$B46)^8.5+L14*(1+C$40)/($B46-C$40)/(1+$B46)^8.5+B32)/B34,0)</f>
        <v>291</v>
      </c>
      <c r="D46" s="82">
        <f>ROUND((D14/(1+$B46)^0.5+E14/(1+$B46)^1.5+F14/(1+$B46)^2.5+G14/(1+$B46)^3.5+H14/(1+$B46)^4.5+I14/(1+$B46)^5.5+J14/(1+$B46)^6.5+K14/(1+$B46)^7.5+L14/(1+$B46)^8.5+L14*(1+D$40)/($B46-D$40)/(1+$B46)^8.5+B32)/B34,0)</f>
        <v>303</v>
      </c>
      <c r="E46" s="82">
        <f>ROUND((D14/(1+$B46)^0.5+E14/(1+$B46)^1.5+F14/(1+$B46)^2.5+G14/(1+$B46)^3.5+H14/(1+$B46)^4.5+I14/(1+$B46)^5.5+J14/(1+$B46)^6.5+K14/(1+$B46)^7.5+L14/(1+$B46)^8.5+L14*(1+E$40)/($B46-E$40)/(1+$B46)^8.5+B32)/B34,0)</f>
        <v>318</v>
      </c>
      <c r="F46" s="82">
        <f>ROUND((D14/(1+$B46)^0.5+E14/(1+$B46)^1.5+F14/(1+$B46)^2.5+G14/(1+$B46)^3.5+H14/(1+$B46)^4.5+I14/(1+$B46)^5.5+J14/(1+$B46)^6.5+K14/(1+$B46)^7.5+L14/(1+$B46)^8.5+L14*(1+F$40)/($B46-F$40)/(1+$B46)^8.5+B32)/B34,0)</f>
        <v>334</v>
      </c>
      <c r="G46" s="82">
        <f>ROUND((D14/(1+$B46)^0.5+E14/(1+$B46)^1.5+F14/(1+$B46)^2.5+G14/(1+$B46)^3.5+H14/(1+$B46)^4.5+I14/(1+$B46)^5.5+J14/(1+$B46)^6.5+K14/(1+$B46)^7.5+L14/(1+$B46)^8.5+L14*(1+G$40)/($B46-G$40)/(1+$B46)^8.5+B32)/B34,0)</f>
        <v>353</v>
      </c>
    </row>
    <row r="47" spans="1:7" ht="15" customHeight="1" x14ac:dyDescent="0.2">
      <c r="B47" s="25">
        <v>0.1</v>
      </c>
      <c r="C47" s="82">
        <f>ROUND((D14/(1+$B47)^0.5+E14/(1+$B47)^1.5+F14/(1+$B47)^2.5+G14/(1+$B47)^3.5+H14/(1+$B47)^4.5+I14/(1+$B47)^5.5+J14/(1+$B47)^6.5+K14/(1+$B47)^7.5+L14/(1+$B47)^8.5+L14*(1+C$40)/($B47-C$40)/(1+$B47)^8.5+B32)/B34,0)</f>
        <v>272</v>
      </c>
      <c r="D47" s="82">
        <f>ROUND((D14/(1+$B47)^0.5+E14/(1+$B47)^1.5+F14/(1+$B47)^2.5+G14/(1+$B47)^3.5+H14/(1+$B47)^4.5+I14/(1+$B47)^5.5+J14/(1+$B47)^6.5+K14/(1+$B47)^7.5+L14/(1+$B47)^8.5+L14*(1+D$40)/($B47-D$40)/(1+$B47)^8.5+B32)/B34,0)</f>
        <v>282</v>
      </c>
      <c r="E47" s="82">
        <f>ROUND((D14/(1+$B47)^0.5+E14/(1+$B47)^1.5+F14/(1+$B47)^2.5+G14/(1+$B47)^3.5+H14/(1+$B47)^4.5+I14/(1+$B47)^5.5+J14/(1+$B47)^6.5+K14/(1+$B47)^7.5+L14/(1+$B47)^8.5+L14*(1+E$40)/($B47-E$40)/(1+$B47)^8.5+B32)/B34,0)</f>
        <v>294</v>
      </c>
      <c r="F47" s="82">
        <f>ROUND((D14/(1+$B47)^0.5+E14/(1+$B47)^1.5+F14/(1+$B47)^2.5+G14/(1+$B47)^3.5+H14/(1+$B47)^4.5+I14/(1+$B47)^5.5+J14/(1+$B47)^6.5+K14/(1+$B47)^7.5+L14/(1+$B47)^8.5+L14*(1+F$40)/($B47-F$40)/(1+$B47)^8.5+B32)/B34,0)</f>
        <v>308</v>
      </c>
      <c r="G47" s="82">
        <f>ROUND((D14/(1+$B47)^0.5+E14/(1+$B47)^1.5+F14/(1+$B47)^2.5+G14/(1+$B47)^3.5+H14/(1+$B47)^4.5+I14/(1+$B47)^5.5+J14/(1+$B47)^6.5+K14/(1+$B47)^7.5+L14/(1+$B47)^8.5+L14*(1+G$40)/($B47-G$40)/(1+$B47)^8.5+B32)/B34,0)</f>
        <v>324</v>
      </c>
    </row>
    <row r="49" spans="1:2" ht="15" customHeight="1" x14ac:dyDescent="0.2">
      <c r="A49" t="s">
        <v>299</v>
      </c>
    </row>
    <row r="50" spans="1:2" ht="15" customHeight="1" x14ac:dyDescent="0.2">
      <c r="A50" t="s">
        <v>300</v>
      </c>
    </row>
    <row r="52" spans="1:2" ht="15" customHeight="1" x14ac:dyDescent="0.2">
      <c r="A52" s="50" t="s">
        <v>301</v>
      </c>
    </row>
    <row r="53" spans="1:2" ht="15" customHeight="1" x14ac:dyDescent="0.2">
      <c r="A53" s="51" t="s">
        <v>302</v>
      </c>
      <c r="B53" s="83">
        <f>'05_IncStmt'!L25</f>
        <v>6775.0381715642643</v>
      </c>
    </row>
    <row r="54" spans="1:2" ht="15" customHeight="1" x14ac:dyDescent="0.2">
      <c r="A54" s="51" t="s">
        <v>303</v>
      </c>
      <c r="B54" s="83">
        <f>B25</f>
        <v>89128.133923709131</v>
      </c>
    </row>
    <row r="55" spans="1:2" ht="15" customHeight="1" x14ac:dyDescent="0.2">
      <c r="A55" s="51" t="s">
        <v>304</v>
      </c>
      <c r="B55" s="84">
        <f>IF(B53=0,0,B54/B53)</f>
        <v>13.155370001868294</v>
      </c>
    </row>
    <row r="56" spans="1:2" ht="15" customHeight="1" x14ac:dyDescent="0.2">
      <c r="A56" s="58" t="s">
        <v>305</v>
      </c>
      <c r="B56" s="58" t="s">
        <v>306</v>
      </c>
    </row>
    <row r="57" spans="1:2" ht="15" customHeight="1" x14ac:dyDescent="0.2">
      <c r="A57" s="51" t="s">
        <v>307</v>
      </c>
      <c r="B57" s="50" t="str">
        <f>IF(B55&gt;25,"HIGH — review TGR",IF(B55&lt;15,"BELOW MARKET (consistent with conservative discount rate)","IN RANGE"))</f>
        <v>BELOW MARKET (consistent with conservative discount rate)</v>
      </c>
    </row>
    <row r="58" spans="1:2" ht="15" customHeight="1" x14ac:dyDescent="0.2">
      <c r="A58" s="58" t="s">
        <v>308</v>
      </c>
      <c r="B58" s="85">
        <f>IF(B53=0,0,B22*(1+B23)/('09_WACC'!C42-B23)/B53)</f>
        <v>15.10067490132305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00_Cover</vt:lpstr>
      <vt:lpstr>01_Historicals</vt:lpstr>
      <vt:lpstr>02_Segments</vt:lpstr>
      <vt:lpstr>03_Drivers</vt:lpstr>
      <vt:lpstr>04_Revenue</vt:lpstr>
      <vt:lpstr>05_IncStmt</vt:lpstr>
      <vt:lpstr>06_BS</vt:lpstr>
      <vt:lpstr>07_CashFlow</vt:lpstr>
      <vt:lpstr>08_DFCF</vt:lpstr>
      <vt:lpstr>09_WACC</vt:lpstr>
      <vt:lpstr>10_CapAlloc</vt:lpstr>
      <vt:lpstr>11_Scenarios</vt:lpstr>
      <vt:lpstr>12_SanityChk</vt:lpstr>
      <vt:lpstr>13_DebtSched</vt:lpstr>
      <vt:lpstr>14_DeferredRev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Jake Spoto</cp:lastModifiedBy>
  <cp:revision>0</cp:revision>
  <dcterms:created xsi:type="dcterms:W3CDTF">2026-02-14T20:42:40Z</dcterms:created>
  <dcterms:modified xsi:type="dcterms:W3CDTF">2026-02-15T20:06:30Z</dcterms:modified>
  <dc:language>en-US</dc:language>
</cp:coreProperties>
</file>